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55" activeTab="0"/>
  </bookViews>
  <sheets>
    <sheet name="様式第７号" sheetId="1" r:id="rId1"/>
    <sheet name="様式１０号" sheetId="2" r:id="rId2"/>
    <sheet name="汚水ます深さ決定資料 (宅内延長)" sheetId="3" r:id="rId3"/>
    <sheet name="汚水ます深さ決定資料(水路等支障物件）" sheetId="4" r:id="rId4"/>
  </sheets>
  <externalReferences>
    <externalReference r:id="rId7"/>
  </externalReferences>
  <definedNames>
    <definedName name="_xlnm.Print_Area" localSheetId="2">'汚水ます深さ決定資料 (宅内延長)'!$A$1:$W$26</definedName>
    <definedName name="_xlnm.Print_Area" localSheetId="3">'汚水ます深さ決定資料(水路等支障物件）'!$A$1:$Q$28</definedName>
    <definedName name="_xlnm.Print_Area" localSheetId="1">'様式１０号'!$B$2:$BC$79</definedName>
    <definedName name="_xlnm.Print_Area" localSheetId="0">'様式第７号'!$A$1:$N$23</definedName>
    <definedName name="_xlnm.Print_Titles" localSheetId="1">'様式１０号'!$2:$27</definedName>
  </definedNames>
  <calcPr fullCalcOnLoad="1"/>
</workbook>
</file>

<file path=xl/comments1.xml><?xml version="1.0" encoding="utf-8"?>
<comments xmlns="http://schemas.openxmlformats.org/spreadsheetml/2006/main">
  <authors>
    <author>出雲市</author>
  </authors>
  <commentList>
    <comment ref="O7" authorId="0">
      <text>
        <r>
          <rPr>
            <sz val="16"/>
            <rFont val="ＭＳ Ｐゴシック"/>
            <family val="3"/>
          </rPr>
          <t xml:space="preserve">茶字：直接入力
赤字：選択入力
黒字：自動入力
印刷は白黒で。B4
</t>
        </r>
      </text>
    </comment>
    <comment ref="C12" authorId="0">
      <text>
        <r>
          <rPr>
            <sz val="16"/>
            <rFont val="ＭＳ Ｐゴシック"/>
            <family val="3"/>
          </rPr>
          <t>下水道本管径を入力</t>
        </r>
      </text>
    </comment>
    <comment ref="D12" authorId="0">
      <text>
        <r>
          <rPr>
            <sz val="16"/>
            <rFont val="ＭＳ Ｐゴシック"/>
            <family val="3"/>
          </rPr>
          <t>取付管径を選択</t>
        </r>
      </text>
    </comment>
    <comment ref="E12" authorId="0">
      <text>
        <r>
          <rPr>
            <sz val="16"/>
            <rFont val="ＭＳ Ｐゴシック"/>
            <family val="3"/>
          </rPr>
          <t>公共ます径を選択
キャップ止の場合は空白</t>
        </r>
      </text>
    </comment>
    <comment ref="F12" authorId="0">
      <text>
        <r>
          <rPr>
            <sz val="16"/>
            <rFont val="ＭＳ Ｐゴシック"/>
            <family val="3"/>
          </rPr>
          <t>深さを入力</t>
        </r>
      </text>
    </comment>
    <comment ref="G12" authorId="0">
      <text>
        <r>
          <rPr>
            <sz val="16"/>
            <rFont val="ＭＳ Ｐゴシック"/>
            <family val="3"/>
          </rPr>
          <t>距離を入力</t>
        </r>
      </text>
    </comment>
    <comment ref="H12" authorId="0">
      <text>
        <r>
          <rPr>
            <sz val="16"/>
            <rFont val="ＭＳ Ｐゴシック"/>
            <family val="3"/>
          </rPr>
          <t>距離を入力</t>
        </r>
      </text>
    </comment>
    <comment ref="I12" authorId="0">
      <text>
        <r>
          <rPr>
            <sz val="16"/>
            <rFont val="ＭＳ Ｐゴシック"/>
            <family val="3"/>
          </rPr>
          <t>取付管が直角方向でない場合は距離を入力</t>
        </r>
      </text>
    </comment>
    <comment ref="J12" authorId="0">
      <text>
        <r>
          <rPr>
            <sz val="16"/>
            <rFont val="ＭＳ Ｐゴシック"/>
            <family val="3"/>
          </rPr>
          <t>土地所有者を入力</t>
        </r>
      </text>
    </comment>
    <comment ref="K12" authorId="0">
      <text>
        <r>
          <rPr>
            <sz val="16"/>
            <rFont val="ＭＳ Ｐゴシック"/>
            <family val="3"/>
          </rPr>
          <t>家屋所有者があれば入力。それ以外は空白。</t>
        </r>
      </text>
    </comment>
    <comment ref="L12" authorId="0">
      <text>
        <r>
          <rPr>
            <sz val="16"/>
            <rFont val="ＭＳ Ｐゴシック"/>
            <family val="3"/>
          </rPr>
          <t>居住者があれば入力。それ以外は空白</t>
        </r>
      </text>
    </comment>
    <comment ref="M12" authorId="0">
      <text>
        <r>
          <rPr>
            <sz val="16"/>
            <rFont val="ＭＳ Ｐゴシック"/>
            <family val="3"/>
          </rPr>
          <t>キャップ止
鉄蓋
ドロップ桝を選択。
それ以外は空白</t>
        </r>
      </text>
    </comment>
  </commentList>
</comments>
</file>

<file path=xl/comments2.xml><?xml version="1.0" encoding="utf-8"?>
<comments xmlns="http://schemas.openxmlformats.org/spreadsheetml/2006/main">
  <authors>
    <author>青木浩朋</author>
  </authors>
  <commentList>
    <comment ref="H23" authorId="0">
      <text>
        <r>
          <rPr>
            <sz val="9"/>
            <rFont val="ＭＳ Ｐゴシック"/>
            <family val="3"/>
          </rPr>
          <t>浄化槽等がある場合は、
上段に記入</t>
        </r>
      </text>
    </comment>
    <comment ref="P23" authorId="0">
      <text>
        <r>
          <rPr>
            <sz val="9"/>
            <rFont val="ＭＳ Ｐゴシック"/>
            <family val="3"/>
          </rPr>
          <t>製品の落差を考慮</t>
        </r>
      </text>
    </comment>
    <comment ref="I24" authorId="0">
      <text>
        <r>
          <rPr>
            <sz val="9"/>
            <rFont val="ＭＳ Ｐゴシック"/>
            <family val="3"/>
          </rPr>
          <t>出雲市仕様</t>
        </r>
      </text>
    </comment>
    <comment ref="L24" authorId="0">
      <text>
        <r>
          <rPr>
            <sz val="9"/>
            <rFont val="ＭＳ Ｐゴシック"/>
            <family val="3"/>
          </rPr>
          <t>出雲市仕様</t>
        </r>
      </text>
    </comment>
    <comment ref="BY24" authorId="0">
      <text>
        <r>
          <rPr>
            <sz val="10"/>
            <rFont val="ＭＳ Ｐゴシック"/>
            <family val="3"/>
          </rPr>
          <t>堀削深に関係なく土留めを計上する場合は、文字を入力。
（空白以外なら土留めを計上となる）</t>
        </r>
      </text>
    </comment>
    <comment ref="CW25" authorId="0">
      <text>
        <r>
          <rPr>
            <sz val="12"/>
            <rFont val="ＭＳ Ｐゴシック"/>
            <family val="3"/>
          </rPr>
          <t>埋設物のクリアランスｈ5、ｈ6両方に0を入力すると、その埋設物を無視して計算する</t>
        </r>
      </text>
    </comment>
    <comment ref="CS26" authorId="0">
      <text>
        <r>
          <rPr>
            <sz val="9"/>
            <rFont val="ＭＳ Ｐゴシック"/>
            <family val="3"/>
          </rPr>
          <t>地下埋位置の底高</t>
        </r>
      </text>
    </comment>
    <comment ref="CT26" authorId="0">
      <text>
        <r>
          <rPr>
            <sz val="9"/>
            <rFont val="ＭＳ Ｐゴシック"/>
            <family val="3"/>
          </rPr>
          <t>地下埋位置の天端高</t>
        </r>
      </text>
    </comment>
    <comment ref="DB26" authorId="0">
      <text>
        <r>
          <rPr>
            <sz val="9"/>
            <rFont val="ＭＳ Ｐゴシック"/>
            <family val="3"/>
          </rPr>
          <t>個別の上越し可能かどうかの判断</t>
        </r>
      </text>
    </comment>
    <comment ref="DC26" authorId="0">
      <text>
        <r>
          <rPr>
            <sz val="9"/>
            <rFont val="ＭＳ Ｐゴシック"/>
            <family val="3"/>
          </rPr>
          <t>もう片方の埋設物を考慮し、上越しが可能かどうかの判断</t>
        </r>
      </text>
    </comment>
    <comment ref="DF26" authorId="0">
      <text>
        <r>
          <rPr>
            <sz val="9"/>
            <rFont val="ＭＳ Ｐゴシック"/>
            <family val="3"/>
          </rPr>
          <t>埋設物二つを考慮</t>
        </r>
      </text>
    </comment>
    <comment ref="Y28" authorId="0">
      <text>
        <r>
          <rPr>
            <sz val="9"/>
            <rFont val="ＭＳ Ｐゴシック"/>
            <family val="3"/>
          </rPr>
          <t>上段下段で2つまで入力可</t>
        </r>
      </text>
    </comment>
    <comment ref="AD28" authorId="0">
      <text>
        <r>
          <rPr>
            <sz val="9"/>
            <rFont val="ＭＳ Ｐゴシック"/>
            <family val="3"/>
          </rPr>
          <t>クリアランスの変更は、右の非表示列の数字を変更する。</t>
        </r>
      </text>
    </comment>
    <comment ref="AE28" authorId="0">
      <text>
        <r>
          <rPr>
            <sz val="9"/>
            <rFont val="ＭＳ Ｐゴシック"/>
            <family val="3"/>
          </rPr>
          <t>クリアランスを変更する場合は、ここに入力</t>
        </r>
      </text>
    </comment>
    <comment ref="AF28" authorId="0">
      <text>
        <r>
          <rPr>
            <sz val="9"/>
            <rFont val="ＭＳ Ｐゴシック"/>
            <family val="3"/>
          </rPr>
          <t>クリアランスを変更する場合は、ここに入力</t>
        </r>
      </text>
    </comment>
    <comment ref="CQ28" authorId="0">
      <text>
        <r>
          <rPr>
            <sz val="9"/>
            <rFont val="ＭＳ Ｐゴシック"/>
            <family val="3"/>
          </rPr>
          <t>採用根拠</t>
        </r>
      </text>
    </comment>
    <comment ref="Y29" authorId="0">
      <text>
        <r>
          <rPr>
            <sz val="9"/>
            <rFont val="ＭＳ Ｐゴシック"/>
            <family val="3"/>
          </rPr>
          <t>上段下段で2つまで入力可</t>
        </r>
      </text>
    </comment>
    <comment ref="AD29" authorId="0">
      <text>
        <r>
          <rPr>
            <sz val="9"/>
            <rFont val="ＭＳ Ｐゴシック"/>
            <family val="3"/>
          </rPr>
          <t>クリアランスの変更は、右の非表示列の数字を変更する。</t>
        </r>
      </text>
    </comment>
  </commentList>
</comments>
</file>

<file path=xl/comments3.xml><?xml version="1.0" encoding="utf-8"?>
<comments xmlns="http://schemas.openxmlformats.org/spreadsheetml/2006/main">
  <authors>
    <author>出雲市</author>
  </authors>
  <commentList>
    <comment ref="A3" authorId="0">
      <text>
        <r>
          <rPr>
            <sz val="18"/>
            <rFont val="ＭＳ Ｐゴシック"/>
            <family val="3"/>
          </rPr>
          <t>工事名を記入</t>
        </r>
      </text>
    </comment>
    <comment ref="A4" authorId="0">
      <text>
        <r>
          <rPr>
            <sz val="18"/>
            <rFont val="ＭＳ Ｐゴシック"/>
            <family val="3"/>
          </rPr>
          <t>路線名及び管路番号。路線名がない場合は管路番号を記入</t>
        </r>
      </text>
    </comment>
    <comment ref="A5" authorId="0">
      <text>
        <r>
          <rPr>
            <sz val="16"/>
            <rFont val="ＭＳ Ｐゴシック"/>
            <family val="3"/>
          </rPr>
          <t>番号を入力</t>
        </r>
      </text>
    </comment>
    <comment ref="B5" authorId="0">
      <text>
        <r>
          <rPr>
            <sz val="16"/>
            <rFont val="ＭＳ Ｐゴシック"/>
            <family val="3"/>
          </rPr>
          <t>氏名を入力</t>
        </r>
      </text>
    </comment>
    <comment ref="C5" authorId="0">
      <text>
        <r>
          <rPr>
            <sz val="16"/>
            <rFont val="ＭＳ Ｐゴシック"/>
            <family val="3"/>
          </rPr>
          <t>延長記入</t>
        </r>
      </text>
    </comment>
    <comment ref="D5" authorId="0">
      <text>
        <r>
          <rPr>
            <sz val="16"/>
            <rFont val="ＭＳ Ｐゴシック"/>
            <family val="3"/>
          </rPr>
          <t>計算区分をリストより選択。
延長25m未満は空白を選択。</t>
        </r>
      </text>
    </comment>
    <comment ref="E5" authorId="0">
      <text>
        <r>
          <rPr>
            <sz val="16"/>
            <rFont val="ＭＳ Ｐゴシック"/>
            <family val="3"/>
          </rPr>
          <t>標高を記入</t>
        </r>
      </text>
    </comment>
    <comment ref="F5" authorId="0">
      <text>
        <r>
          <rPr>
            <sz val="16"/>
            <rFont val="ＭＳ Ｐゴシック"/>
            <family val="3"/>
          </rPr>
          <t>標高を記入</t>
        </r>
      </text>
    </comment>
    <comment ref="X5" authorId="0">
      <text>
        <r>
          <rPr>
            <sz val="16"/>
            <rFont val="ＭＳ Ｐゴシック"/>
            <family val="3"/>
          </rPr>
          <t xml:space="preserve">茶字：直接入力
赤字：選択入力
黒字：自動入力
印刷は白黒で。B4
</t>
        </r>
      </text>
    </comment>
  </commentList>
</comments>
</file>

<file path=xl/comments4.xml><?xml version="1.0" encoding="utf-8"?>
<comments xmlns="http://schemas.openxmlformats.org/spreadsheetml/2006/main">
  <authors>
    <author>出雲市</author>
  </authors>
  <commentList>
    <comment ref="C5" authorId="0">
      <text>
        <r>
          <rPr>
            <sz val="18"/>
            <rFont val="ＭＳ Ｐゴシック"/>
            <family val="3"/>
          </rPr>
          <t>支障物件の種別を記入</t>
        </r>
      </text>
    </comment>
    <comment ref="F5" authorId="0">
      <text>
        <r>
          <rPr>
            <sz val="18"/>
            <rFont val="ＭＳ Ｐゴシック"/>
            <family val="3"/>
          </rPr>
          <t>支障物件位置でのの地盤高入力</t>
        </r>
      </text>
    </comment>
    <comment ref="G5" authorId="0">
      <text>
        <r>
          <rPr>
            <sz val="18"/>
            <rFont val="ＭＳ Ｐゴシック"/>
            <family val="3"/>
          </rPr>
          <t>支障物件の深さを入力</t>
        </r>
      </text>
    </comment>
    <comment ref="H5" authorId="0">
      <text>
        <r>
          <rPr>
            <sz val="18"/>
            <rFont val="ＭＳ Ｐゴシック"/>
            <family val="3"/>
          </rPr>
          <t>汚水桝～支障物件までの延長を入力</t>
        </r>
      </text>
    </comment>
    <comment ref="I5" authorId="0">
      <text>
        <r>
          <rPr>
            <sz val="18"/>
            <rFont val="ＭＳ Ｐゴシック"/>
            <family val="3"/>
          </rPr>
          <t>支障物件と取付管の離隔を入力</t>
        </r>
      </text>
    </comment>
    <comment ref="J5" authorId="0">
      <text>
        <r>
          <rPr>
            <sz val="18"/>
            <rFont val="ＭＳ Ｐゴシック"/>
            <family val="3"/>
          </rPr>
          <t>取付管の外形をリストより選択。Φ100～φ200まで設定。</t>
        </r>
      </text>
    </comment>
    <comment ref="K5" authorId="0">
      <text>
        <r>
          <rPr>
            <sz val="18"/>
            <rFont val="ＭＳ Ｐゴシック"/>
            <family val="3"/>
          </rPr>
          <t>取付管の勾配を入力</t>
        </r>
      </text>
    </comment>
    <comment ref="Q5" authorId="0">
      <text>
        <r>
          <rPr>
            <sz val="16"/>
            <rFont val="ＭＳ Ｐゴシック"/>
            <family val="3"/>
          </rPr>
          <t>キャップ止の場合はリストより選択。</t>
        </r>
      </text>
    </comment>
    <comment ref="R5" authorId="0">
      <text>
        <r>
          <rPr>
            <sz val="16"/>
            <rFont val="ＭＳ Ｐゴシック"/>
            <family val="3"/>
          </rPr>
          <t xml:space="preserve">茶字：直接入力
赤字：選択入力
黒字：自動入力
印刷は白黒で。B4
</t>
        </r>
      </text>
    </comment>
  </commentList>
</comments>
</file>

<file path=xl/sharedStrings.xml><?xml version="1.0" encoding="utf-8"?>
<sst xmlns="http://schemas.openxmlformats.org/spreadsheetml/2006/main" count="533" uniqueCount="309">
  <si>
    <t>距離</t>
  </si>
  <si>
    <t>名称</t>
  </si>
  <si>
    <t>地盤高</t>
  </si>
  <si>
    <t>延長</t>
  </si>
  <si>
    <t>宅内配管</t>
  </si>
  <si>
    <t>勾配</t>
  </si>
  <si>
    <t>土被り</t>
  </si>
  <si>
    <t>GH1</t>
  </si>
  <si>
    <t>管径</t>
  </si>
  <si>
    <t>ｍ</t>
  </si>
  <si>
    <t>道路高</t>
  </si>
  <si>
    <t>離隔</t>
  </si>
  <si>
    <t>埋設物</t>
  </si>
  <si>
    <t>埋設深さ</t>
  </si>
  <si>
    <t>サイズ</t>
  </si>
  <si>
    <t>上越し</t>
  </si>
  <si>
    <t>管底高</t>
  </si>
  <si>
    <t>採用公共桝深</t>
  </si>
  <si>
    <t>桝深</t>
  </si>
  <si>
    <t>規格</t>
  </si>
  <si>
    <t>取付管</t>
  </si>
  <si>
    <t>決定根拠</t>
  </si>
  <si>
    <t>％</t>
  </si>
  <si>
    <t>内径</t>
  </si>
  <si>
    <t>管厚</t>
  </si>
  <si>
    <t>道路土被り</t>
  </si>
  <si>
    <t>最低桝深</t>
  </si>
  <si>
    <t>FH3</t>
  </si>
  <si>
    <t>H1</t>
  </si>
  <si>
    <t>L1</t>
  </si>
  <si>
    <t>L1'</t>
  </si>
  <si>
    <t>h1</t>
  </si>
  <si>
    <t>GH2</t>
  </si>
  <si>
    <t>GH3</t>
  </si>
  <si>
    <t>h3</t>
  </si>
  <si>
    <t>h4</t>
  </si>
  <si>
    <t>水路下越し</t>
  </si>
  <si>
    <t>最小桝深</t>
  </si>
  <si>
    <t>ｈ3</t>
  </si>
  <si>
    <t>宅内～水路</t>
  </si>
  <si>
    <t>F3</t>
  </si>
  <si>
    <t>h5</t>
  </si>
  <si>
    <t>h6</t>
  </si>
  <si>
    <t>桝位置</t>
  </si>
  <si>
    <t>離隔計算用</t>
  </si>
  <si>
    <t>水路位置</t>
  </si>
  <si>
    <t>埋設物1位置</t>
  </si>
  <si>
    <t>埋設物2位置</t>
  </si>
  <si>
    <t>EL(天)</t>
  </si>
  <si>
    <t>EL(底)</t>
  </si>
  <si>
    <t>埋設物考慮</t>
  </si>
  <si>
    <t>採用</t>
  </si>
  <si>
    <t>最小値</t>
  </si>
  <si>
    <t>備考</t>
  </si>
  <si>
    <t>ます
落差</t>
  </si>
  <si>
    <t>流入
管底高</t>
  </si>
  <si>
    <t>ｈ7</t>
  </si>
  <si>
    <t>h8</t>
  </si>
  <si>
    <t>ｈ8</t>
  </si>
  <si>
    <t>h9</t>
  </si>
  <si>
    <t>ｈ10</t>
  </si>
  <si>
    <t>h11</t>
  </si>
  <si>
    <t>標高</t>
  </si>
  <si>
    <t>クリアランス</t>
  </si>
  <si>
    <t>宅内</t>
  </si>
  <si>
    <t>呼び径</t>
  </si>
  <si>
    <t>VU100</t>
  </si>
  <si>
    <t>VU150</t>
  </si>
  <si>
    <t>VU200</t>
  </si>
  <si>
    <t>管種</t>
  </si>
  <si>
    <t>水路</t>
  </si>
  <si>
    <t>底高</t>
  </si>
  <si>
    <t>EL1</t>
  </si>
  <si>
    <t>EL2</t>
  </si>
  <si>
    <t>EL1'</t>
  </si>
  <si>
    <t>L2</t>
  </si>
  <si>
    <t>L3</t>
  </si>
  <si>
    <t>EL3</t>
  </si>
  <si>
    <t>EL4</t>
  </si>
  <si>
    <t>EL5</t>
  </si>
  <si>
    <t>上クリアランス</t>
  </si>
  <si>
    <t>下クリアランス</t>
  </si>
  <si>
    <t>H2</t>
  </si>
  <si>
    <t>H3</t>
  </si>
  <si>
    <t>EL</t>
  </si>
  <si>
    <t>ｍ （下流側）</t>
  </si>
  <si>
    <t>管諸元</t>
  </si>
  <si>
    <t>桝番号</t>
  </si>
  <si>
    <t>名    称</t>
  </si>
  <si>
    <t>VP200</t>
  </si>
  <si>
    <t>フリータイプ</t>
  </si>
  <si>
    <t>3方向流入タイプ</t>
  </si>
  <si>
    <t>(mm)</t>
  </si>
  <si>
    <t>公共桝規格条件</t>
  </si>
  <si>
    <t>桝深と宅内桝深の差</t>
  </si>
  <si>
    <t>ｍ以上は縦型</t>
  </si>
  <si>
    <t>L4</t>
  </si>
  <si>
    <t>i2</t>
  </si>
  <si>
    <t>砂基礎厚</t>
  </si>
  <si>
    <t>取付管掘削深</t>
  </si>
  <si>
    <t>官民境界</t>
  </si>
  <si>
    <t>官民境界位置</t>
  </si>
  <si>
    <t>道路高</t>
  </si>
  <si>
    <t>H</t>
  </si>
  <si>
    <t>i1'</t>
  </si>
  <si>
    <t>EL2'</t>
  </si>
  <si>
    <t>路線名</t>
  </si>
  <si>
    <t xml:space="preserve"> 　計算条件</t>
  </si>
  <si>
    <t>　　　・宅内配管管径</t>
  </si>
  <si>
    <t>　　　・公共桝タイプ ：</t>
  </si>
  <si>
    <t>取付管及び公共桝計算書</t>
  </si>
  <si>
    <t>　　　・宅内配管勾配 i1</t>
  </si>
  <si>
    <t>　　　・ます落差 h1</t>
  </si>
  <si>
    <t xml:space="preserve">　　　・最低桝深 </t>
  </si>
  <si>
    <t>公共桝</t>
  </si>
  <si>
    <t>掘削</t>
  </si>
  <si>
    <t>条件</t>
  </si>
  <si>
    <t>上越し</t>
  </si>
  <si>
    <t>下越し</t>
  </si>
  <si>
    <t>公共桝（宅内配管より）</t>
  </si>
  <si>
    <t>ｍ (製品の落差）</t>
  </si>
  <si>
    <t>決定公共桝深</t>
  </si>
  <si>
    <t>決定取付管計画高</t>
  </si>
  <si>
    <t>取付管計画</t>
  </si>
  <si>
    <t>考慮しない</t>
  </si>
  <si>
    <t>取付管</t>
  </si>
  <si>
    <t>矢板長</t>
  </si>
  <si>
    <t>軽量鋼矢板</t>
  </si>
  <si>
    <t>建込み</t>
  </si>
  <si>
    <t>掘削深</t>
  </si>
  <si>
    <t>(計算用）</t>
  </si>
  <si>
    <t>数量計算用</t>
  </si>
  <si>
    <t>本管中心</t>
  </si>
  <si>
    <t>～境界まで</t>
  </si>
  <si>
    <t>取 付 管 土 留 め 判 定 計 算 書</t>
  </si>
  <si>
    <t>B1</t>
  </si>
  <si>
    <t>桝～</t>
  </si>
  <si>
    <t>官民境界</t>
  </si>
  <si>
    <t>軽量鋼矢板建込み</t>
  </si>
  <si>
    <t>道路高と宅地高の高低差が大きい場合</t>
  </si>
  <si>
    <t>1.5ｍ/箇所を計上する。</t>
  </si>
  <si>
    <t>取付管</t>
  </si>
  <si>
    <t>公共桝</t>
  </si>
  <si>
    <t>設計考慮</t>
  </si>
  <si>
    <t>VU250</t>
  </si>
  <si>
    <t xml:space="preserve">  　   　L1 ＜  50 の場合</t>
  </si>
  <si>
    <t xml:space="preserve">   50 ≦ L1 ＜ 120 の場合</t>
  </si>
  <si>
    <t xml:space="preserve">  120 ≦ L1 　 　　の場合</t>
  </si>
  <si>
    <t>　     　L1 ＜  50 の場合</t>
  </si>
  <si>
    <r>
      <t xml:space="preserve">桝深
</t>
    </r>
    <r>
      <rPr>
        <sz val="8"/>
        <rFont val="ＭＳ ゴシック"/>
        <family val="3"/>
      </rPr>
      <t>(下流側)</t>
    </r>
  </si>
  <si>
    <t>mm</t>
  </si>
  <si>
    <t>考慮</t>
  </si>
  <si>
    <t>位置の</t>
  </si>
  <si>
    <t>　　　・宅内配管土被り</t>
  </si>
  <si>
    <t>ia</t>
  </si>
  <si>
    <t>ib</t>
  </si>
  <si>
    <t>最遠点（下段）、施設延長（上段）</t>
  </si>
  <si>
    <t>　　宅内配管</t>
  </si>
  <si>
    <t>桝位置標高（宅内、土被り、水路）</t>
  </si>
  <si>
    <t>埋設物の標高</t>
  </si>
  <si>
    <t>(底）</t>
  </si>
  <si>
    <t>（天）</t>
  </si>
  <si>
    <t>FH</t>
  </si>
  <si>
    <t>上越</t>
  </si>
  <si>
    <t>判定</t>
  </si>
  <si>
    <t>離隔を考慮した</t>
  </si>
  <si>
    <t>埋設物を考慮</t>
  </si>
  <si>
    <t>した上越判定</t>
  </si>
  <si>
    <t>離隔 基本条件</t>
  </si>
  <si>
    <t>　道路土被り</t>
  </si>
  <si>
    <t>　水路</t>
  </si>
  <si>
    <t>　埋設物上</t>
  </si>
  <si>
    <t>　埋設物下</t>
  </si>
  <si>
    <t>もう一方</t>
  </si>
  <si>
    <t>桝位置での</t>
  </si>
  <si>
    <t>(地下水位等）</t>
  </si>
  <si>
    <t>路線番号</t>
  </si>
  <si>
    <t>必要</t>
  </si>
  <si>
    <t>確認欄</t>
  </si>
  <si>
    <t>必要離隔</t>
  </si>
  <si>
    <t>※埋設物は、2つしか考慮できない。</t>
  </si>
  <si>
    <t>空白は考慮する</t>
  </si>
  <si>
    <t>EL6</t>
  </si>
  <si>
    <t>本管との接続落差</t>
  </si>
  <si>
    <t>本管必要管底高</t>
  </si>
  <si>
    <t>流入高</t>
  </si>
  <si>
    <t>宅内側</t>
  </si>
  <si>
    <t>本管側</t>
  </si>
  <si>
    <t>決定    桝深</t>
  </si>
  <si>
    <t>流出　　　管底高</t>
  </si>
  <si>
    <t>(様式下第７号）</t>
  </si>
  <si>
    <t>公 共 ま す 及 び 取 付 管 調 書</t>
  </si>
  <si>
    <t>路線名</t>
  </si>
  <si>
    <t>★ C1は、本管に対し取付管が直角方向でない場合のみ記入すること</t>
  </si>
  <si>
    <t>№</t>
  </si>
  <si>
    <t>本管径</t>
  </si>
  <si>
    <t>取付管径</t>
  </si>
  <si>
    <t>公共ます径</t>
  </si>
  <si>
    <t>A</t>
  </si>
  <si>
    <t>B</t>
  </si>
  <si>
    <t>C</t>
  </si>
  <si>
    <t>C1</t>
  </si>
  <si>
    <t>土地所有者</t>
  </si>
  <si>
    <t>家屋所有者</t>
  </si>
  <si>
    <t>居住者</t>
  </si>
  <si>
    <t>備考</t>
  </si>
  <si>
    <t>△△　△△</t>
  </si>
  <si>
    <t>Fさん</t>
  </si>
  <si>
    <t>Gさん</t>
  </si>
  <si>
    <t>Hさん</t>
  </si>
  <si>
    <t>Kさん</t>
  </si>
  <si>
    <t>Aさん</t>
  </si>
  <si>
    <t>△△　△△</t>
  </si>
  <si>
    <t>××　××</t>
  </si>
  <si>
    <t>××　××</t>
  </si>
  <si>
    <t>Bさん</t>
  </si>
  <si>
    <t>Cさん</t>
  </si>
  <si>
    <t>Dさん</t>
  </si>
  <si>
    <t>Eさん</t>
  </si>
  <si>
    <t>Iさん</t>
  </si>
  <si>
    <t>公共ますの深さ決定に関する資料(その２)</t>
  </si>
  <si>
    <t>（支障物件により決定されるます有効深)　H2</t>
  </si>
  <si>
    <t>工事名</t>
  </si>
  <si>
    <t>整理番号</t>
  </si>
  <si>
    <t>ます設置家屋名（又は土地所有者名）</t>
  </si>
  <si>
    <t>種別</t>
  </si>
  <si>
    <t>ます設置地盤高</t>
  </si>
  <si>
    <t>支障物件底盤高</t>
  </si>
  <si>
    <t>支障物件地盤高</t>
  </si>
  <si>
    <t>支障物深さ</t>
  </si>
  <si>
    <t>支障物件までの距離</t>
  </si>
  <si>
    <t>離隔</t>
  </si>
  <si>
    <t>取付管外径</t>
  </si>
  <si>
    <t>取付管勾配</t>
  </si>
  <si>
    <t>ます底標高</t>
  </si>
  <si>
    <t>ます計算深さ</t>
  </si>
  <si>
    <t>必要ます決定深さ</t>
  </si>
  <si>
    <t>桝深／取付管底（実施）</t>
  </si>
  <si>
    <t>備　　　考</t>
  </si>
  <si>
    <t>GL1</t>
  </si>
  <si>
    <t>EL2</t>
  </si>
  <si>
    <t>EL1</t>
  </si>
  <si>
    <t>h1</t>
  </si>
  <si>
    <t>L1</t>
  </si>
  <si>
    <t>h2</t>
  </si>
  <si>
    <t>EL3</t>
  </si>
  <si>
    <t>H2</t>
  </si>
  <si>
    <t>H1</t>
  </si>
  <si>
    <t>Ｈ</t>
  </si>
  <si>
    <t>Ａ</t>
  </si>
  <si>
    <t>(m)</t>
  </si>
  <si>
    <t>(ｍ)</t>
  </si>
  <si>
    <t>（m）</t>
  </si>
  <si>
    <t>（ｍ）</t>
  </si>
  <si>
    <t>(％)</t>
  </si>
  <si>
    <t>（ｍ）流出側</t>
  </si>
  <si>
    <t>（ｍ）宅内側</t>
  </si>
  <si>
    <t>（ｍ）宅内側</t>
  </si>
  <si>
    <t>（ｍ）宅地側</t>
  </si>
  <si>
    <t>水道新設</t>
  </si>
  <si>
    <t>ドロップ桝</t>
  </si>
  <si>
    <t>鉄蓋（T-８）</t>
  </si>
  <si>
    <t>キャップ止</t>
  </si>
  <si>
    <t>既設水路</t>
  </si>
  <si>
    <t>水道新設</t>
  </si>
  <si>
    <t>擁壁</t>
  </si>
  <si>
    <t>水道新設</t>
  </si>
  <si>
    <t>公共ますの深さ決定に関する資料(その１)</t>
  </si>
  <si>
    <t>（宅内配管より決定されるます有効深)　H1</t>
  </si>
  <si>
    <t>〇〇号汚水準幹線外管渠工事</t>
  </si>
  <si>
    <t>〇〇号汚水準幹線</t>
  </si>
  <si>
    <t>宅内の最長配管延長</t>
  </si>
  <si>
    <t>算定</t>
  </si>
  <si>
    <t>ます設置地盤高</t>
  </si>
  <si>
    <t>最上流付近地盤高</t>
  </si>
  <si>
    <t>地盤高高低差</t>
  </si>
  <si>
    <t>算定式</t>
  </si>
  <si>
    <t>ます計算深さ</t>
  </si>
  <si>
    <t>Ｌ（ｍ）</t>
  </si>
  <si>
    <t>区分</t>
  </si>
  <si>
    <t>GL１（ｍ）</t>
  </si>
  <si>
    <t>GL２（ｍ）</t>
  </si>
  <si>
    <t>⊿Ｈ＝GL2-GL1（ｍ）</t>
  </si>
  <si>
    <t>h（ｃｍ）</t>
  </si>
  <si>
    <t>Ｈ1（ｍ）宅内側</t>
  </si>
  <si>
    <t>Aさん</t>
  </si>
  <si>
    <t>　</t>
  </si>
  <si>
    <t>Bさん</t>
  </si>
  <si>
    <t>Cさん</t>
  </si>
  <si>
    <t>Dさん</t>
  </si>
  <si>
    <t>Eさん</t>
  </si>
  <si>
    <t>Fさん</t>
  </si>
  <si>
    <t>Gさん</t>
  </si>
  <si>
    <t>　</t>
  </si>
  <si>
    <t>Hさん</t>
  </si>
  <si>
    <t>Iさん</t>
  </si>
  <si>
    <t>Kさん</t>
  </si>
  <si>
    <t>汚水ますの深さ決定条件</t>
  </si>
  <si>
    <t xml:space="preserve">        Ｌ：</t>
  </si>
  <si>
    <t>宅内配管の最長延長</t>
  </si>
  <si>
    <t>　　　　　　　▽最上流付近地盤高</t>
  </si>
  <si>
    <t>⊿Ｈｃｍ：</t>
  </si>
  <si>
    <t>最上流付近地盤高－ます設置位置地盤高</t>
  </si>
  <si>
    <t>　　　土被り</t>
  </si>
  <si>
    <t>　　　　　　(1)：最浅８０ｃｍとする。</t>
  </si>
  <si>
    <t>　　　　　　(2)：ｈ＝２．０％＊Ｌ＋３０ｃｍ－⊿Ｈｃｍ　(L=25m～50mの場合)</t>
  </si>
  <si>
    <t>　　　　　　(3)：ｈ＝１．０％＊Ｌ＋８０ｃｍ－⊿Ｈｃｍ　(L=50m～120mの場合)</t>
  </si>
  <si>
    <t>　　　　　　(4)：ｈ＝１．２％＊Ｌ＋５０ｃｍ－⊿Ｈｃｍ　(L=120mの場合)</t>
  </si>
  <si>
    <t>ｈ：比高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</si>
</sst>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);[Red]\(0.000\)"/>
    <numFmt numFmtId="179" formatCode="0.00_);[Red]\(0.00\)"/>
    <numFmt numFmtId="180" formatCode="&quot;(&quot;\ @\ &quot;)&quot;"/>
    <numFmt numFmtId="181" formatCode="0.00_ "/>
    <numFmt numFmtId="182" formatCode="0.0&quot;m以下&quot;"/>
    <numFmt numFmtId="183" formatCode="0.0_ "/>
    <numFmt numFmtId="184" formatCode="0.00&quot;m&quot;"/>
    <numFmt numFmtId="185" formatCode="0_ "/>
    <numFmt numFmtId="186" formatCode="#,##0.00_ ;[Red]\-#,##0.00\ "/>
    <numFmt numFmtId="187" formatCode="#,##0_ ;[Red]\-#,##0\ "/>
    <numFmt numFmtId="188" formatCode="#,##0.0_ ;[Red]\-#,##0.0\ "/>
    <numFmt numFmtId="189" formatCode="0.00_ ;[Red]\-0.00\ "/>
    <numFmt numFmtId="190" formatCode="0.000_);\(0.000\)"/>
    <numFmt numFmtId="191" formatCode="0.0_);[Red]\(0.0\)"/>
    <numFmt numFmtId="192" formatCode="#,##0.0;[Red]\-#,##0.0"/>
  </numFmts>
  <fonts count="8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u val="single"/>
      <sz val="9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6"/>
      <name val="ＭＳ ゴシック"/>
      <family val="3"/>
    </font>
    <font>
      <sz val="8"/>
      <name val="ＭＳ Ｐゴシック"/>
      <family val="3"/>
    </font>
    <font>
      <b/>
      <sz val="9"/>
      <name val="ＭＳ ゴシック"/>
      <family val="3"/>
    </font>
    <font>
      <b/>
      <sz val="11"/>
      <name val="ＭＳ Ｐゴシック"/>
      <family val="3"/>
    </font>
    <font>
      <b/>
      <sz val="10"/>
      <name val="ＭＳ 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b/>
      <sz val="18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  <font>
      <u val="single"/>
      <sz val="26"/>
      <name val="ＭＳ Ｐゴシック"/>
      <family val="3"/>
    </font>
    <font>
      <u val="single"/>
      <sz val="1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sz val="18"/>
      <color indexed="10"/>
      <name val="ＭＳ Ｐゴシック"/>
      <family val="3"/>
    </font>
    <font>
      <b/>
      <sz val="18"/>
      <name val="ＭＳ Ｐゴシック"/>
      <family val="3"/>
    </font>
    <font>
      <sz val="16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60"/>
      <name val="ＭＳ Ｐ明朝"/>
      <family val="1"/>
    </font>
    <font>
      <sz val="16"/>
      <color indexed="60"/>
      <name val="ＭＳ Ｐゴシック"/>
      <family val="3"/>
    </font>
    <font>
      <sz val="18"/>
      <color indexed="60"/>
      <name val="ＭＳ Ｐゴシック"/>
      <family val="3"/>
    </font>
    <font>
      <b/>
      <sz val="18"/>
      <color indexed="60"/>
      <name val="ＭＳ Ｐゴシック"/>
      <family val="3"/>
    </font>
    <font>
      <sz val="18"/>
      <color indexed="30"/>
      <name val="ＭＳ Ｐゴシック"/>
      <family val="3"/>
    </font>
    <font>
      <sz val="11"/>
      <color indexed="30"/>
      <name val="ＭＳ Ｐゴシック"/>
      <family val="3"/>
    </font>
    <font>
      <u val="single"/>
      <sz val="16"/>
      <color indexed="60"/>
      <name val="ＭＳ Ｐゴシック"/>
      <family val="3"/>
    </font>
    <font>
      <sz val="9"/>
      <color indexed="8"/>
      <name val="ＭＳ ゴシック"/>
      <family val="3"/>
    </font>
    <font>
      <sz val="10"/>
      <color indexed="8"/>
      <name val="ＭＳ Ｐゴシック"/>
      <family val="3"/>
    </font>
    <font>
      <vertAlign val="superscript"/>
      <sz val="9"/>
      <color indexed="8"/>
      <name val="ＭＳ ゴシック"/>
      <family val="3"/>
    </font>
    <font>
      <vertAlign val="superscript"/>
      <sz val="10"/>
      <color indexed="8"/>
      <name val="ＭＳ Ｐゴシック"/>
      <family val="3"/>
    </font>
    <font>
      <sz val="12"/>
      <color indexed="8"/>
      <name val="ＭＳ 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C00000"/>
      <name val="ＭＳ Ｐ明朝"/>
      <family val="1"/>
    </font>
    <font>
      <sz val="16"/>
      <color rgb="FFC00000"/>
      <name val="ＭＳ Ｐゴシック"/>
      <family val="3"/>
    </font>
    <font>
      <sz val="18"/>
      <color rgb="FFC00000"/>
      <name val="ＭＳ Ｐゴシック"/>
      <family val="3"/>
    </font>
    <font>
      <b/>
      <sz val="18"/>
      <color rgb="FFC00000"/>
      <name val="ＭＳ Ｐゴシック"/>
      <family val="3"/>
    </font>
    <font>
      <sz val="18"/>
      <color rgb="FF0070C0"/>
      <name val="ＭＳ Ｐゴシック"/>
      <family val="3"/>
    </font>
    <font>
      <sz val="11"/>
      <color rgb="FF0070C0"/>
      <name val="ＭＳ Ｐゴシック"/>
      <family val="3"/>
    </font>
    <font>
      <u val="single"/>
      <sz val="16"/>
      <color rgb="FFC00000"/>
      <name val="ＭＳ Ｐゴシック"/>
      <family val="3"/>
    </font>
    <font>
      <b/>
      <sz val="8"/>
      <name val="ＭＳ Ｐゴシック"/>
      <family val="2"/>
    </font>
  </fonts>
  <fills count="4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249909996986389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2000013589859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0" tint="-0.14993000030517578"/>
        <bgColor indexed="64"/>
      </patternFill>
    </fill>
    <fill>
      <patternFill patternType="solid">
        <fgColor indexed="9"/>
        <bgColor indexed="64"/>
      </patternFill>
    </fill>
  </fills>
  <borders count="2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20"/>
      </left>
      <right style="medium">
        <color indexed="20"/>
      </right>
      <top style="medium">
        <color indexed="20"/>
      </top>
      <bottom style="thin">
        <color indexed="20"/>
      </bottom>
    </border>
    <border>
      <left>
        <color indexed="63"/>
      </left>
      <right>
        <color indexed="63"/>
      </right>
      <top style="hair">
        <color indexed="20"/>
      </top>
      <bottom style="hair">
        <color indexed="20"/>
      </bottom>
    </border>
    <border>
      <left style="medium">
        <color indexed="20"/>
      </left>
      <right style="medium">
        <color indexed="20"/>
      </right>
      <top style="thin">
        <color indexed="20"/>
      </top>
      <bottom style="medium">
        <color indexed="2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20"/>
      </top>
      <bottom style="medium">
        <color indexed="20"/>
      </bottom>
    </border>
    <border>
      <left style="thin"/>
      <right style="thin"/>
      <top>
        <color indexed="63"/>
      </top>
      <bottom style="thin"/>
    </border>
    <border>
      <left style="medium">
        <color indexed="20"/>
      </left>
      <right style="medium">
        <color indexed="20"/>
      </right>
      <top style="medium">
        <color indexed="20"/>
      </top>
      <bottom style="medium">
        <color indexed="20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hair">
        <color indexed="12"/>
      </left>
      <right style="hair">
        <color indexed="12"/>
      </right>
      <top style="thin">
        <color indexed="12"/>
      </top>
      <bottom style="thin">
        <color indexed="12"/>
      </bottom>
    </border>
    <border>
      <left style="hair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hair">
        <color indexed="12"/>
      </right>
      <top style="thin">
        <color indexed="12"/>
      </top>
      <bottom style="thin">
        <color indexed="12"/>
      </bottom>
    </border>
    <border>
      <left style="hair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hair">
        <color indexed="12"/>
      </right>
      <top style="thin">
        <color indexed="12"/>
      </top>
      <bottom style="thin">
        <color indexed="12"/>
      </bottom>
    </border>
    <border>
      <left style="hair">
        <color indexed="12"/>
      </left>
      <right style="hair">
        <color indexed="12"/>
      </right>
      <top style="thin">
        <color indexed="12"/>
      </top>
      <bottom>
        <color indexed="63"/>
      </bottom>
    </border>
    <border>
      <left style="hair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/>
      <right style="hair"/>
      <top>
        <color indexed="63"/>
      </top>
      <bottom style="medium"/>
    </border>
    <border>
      <left style="medium">
        <color indexed="12"/>
      </left>
      <right style="hair">
        <color indexed="12"/>
      </right>
      <top style="thin">
        <color indexed="12"/>
      </top>
      <bottom style="medium">
        <color indexed="12"/>
      </bottom>
    </border>
    <border>
      <left style="hair">
        <color indexed="12"/>
      </left>
      <right style="hair">
        <color indexed="12"/>
      </right>
      <top style="thin">
        <color indexed="12"/>
      </top>
      <bottom style="medium">
        <color indexed="12"/>
      </bottom>
    </border>
    <border>
      <left style="hair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hair">
        <color indexed="12"/>
      </right>
      <top style="thin">
        <color indexed="12"/>
      </top>
      <bottom style="medium">
        <color indexed="12"/>
      </bottom>
    </border>
    <border>
      <left style="hair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 style="hair">
        <color indexed="12"/>
      </right>
      <top style="thin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medium">
        <color indexed="12"/>
      </left>
      <right style="hair">
        <color indexed="12"/>
      </right>
      <top style="medium">
        <color indexed="12"/>
      </top>
      <bottom style="thin">
        <color indexed="12"/>
      </bottom>
    </border>
    <border>
      <left style="hair"/>
      <right style="hair">
        <color indexed="12"/>
      </right>
      <top style="medium">
        <color indexed="12"/>
      </top>
      <bottom style="thin">
        <color indexed="12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 style="medium">
        <color indexed="12"/>
      </top>
      <bottom style="thin">
        <color indexed="12"/>
      </bottom>
    </border>
    <border>
      <left style="hair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hair">
        <color indexed="12"/>
      </left>
      <right style="double">
        <color indexed="12"/>
      </right>
      <top style="medium">
        <color indexed="12"/>
      </top>
      <bottom style="thin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hair">
        <color indexed="12"/>
      </left>
      <right style="hair">
        <color indexed="12"/>
      </right>
      <top>
        <color indexed="63"/>
      </top>
      <bottom style="thin">
        <color indexed="12"/>
      </bottom>
    </border>
    <border>
      <left style="hair">
        <color indexed="12"/>
      </left>
      <right style="medium">
        <color indexed="12"/>
      </right>
      <top>
        <color indexed="63"/>
      </top>
      <bottom style="thin">
        <color indexed="12"/>
      </bottom>
    </border>
    <border>
      <left style="double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double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medium">
        <color indexed="12"/>
      </right>
      <top>
        <color indexed="63"/>
      </top>
      <bottom style="thin">
        <color indexed="12"/>
      </bottom>
    </border>
    <border>
      <left style="medium"/>
      <right style="hair"/>
      <top>
        <color indexed="63"/>
      </top>
      <bottom style="hair"/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double">
        <color indexed="12"/>
      </right>
      <top style="thin">
        <color indexed="12"/>
      </top>
      <bottom style="medium">
        <color indexed="12"/>
      </bottom>
    </border>
    <border>
      <left style="hair">
        <color indexed="12"/>
      </left>
      <right style="hair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n"/>
      <top style="hair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double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double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double">
        <color indexed="12"/>
      </left>
      <right style="hair">
        <color indexed="12"/>
      </right>
      <top style="medium">
        <color indexed="12"/>
      </top>
      <bottom style="thin">
        <color indexed="12"/>
      </bottom>
    </border>
    <border>
      <left style="double">
        <color indexed="12"/>
      </left>
      <right style="hair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 style="double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hair">
        <color indexed="12"/>
      </right>
      <top style="thin">
        <color indexed="12"/>
      </top>
      <bottom style="thin">
        <color indexed="12"/>
      </bottom>
    </border>
    <border>
      <left style="hair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medium">
        <color indexed="20"/>
      </left>
      <right>
        <color indexed="63"/>
      </right>
      <top style="hair">
        <color indexed="20"/>
      </top>
      <bottom style="hair">
        <color indexed="20"/>
      </bottom>
    </border>
    <border>
      <left style="medium">
        <color indexed="20"/>
      </left>
      <right>
        <color indexed="63"/>
      </right>
      <top style="hair">
        <color indexed="20"/>
      </top>
      <bottom style="medium">
        <color indexed="20"/>
      </bottom>
    </border>
    <border>
      <left style="medium">
        <color indexed="20"/>
      </left>
      <right>
        <color indexed="63"/>
      </right>
      <top style="medium">
        <color indexed="20"/>
      </top>
      <bottom style="hair">
        <color indexed="20"/>
      </bottom>
    </border>
    <border>
      <left>
        <color indexed="63"/>
      </left>
      <right>
        <color indexed="63"/>
      </right>
      <top style="medium">
        <color indexed="20"/>
      </top>
      <bottom style="hair">
        <color indexed="20"/>
      </bottom>
    </border>
    <border>
      <left>
        <color indexed="63"/>
      </left>
      <right style="medium">
        <color indexed="20"/>
      </right>
      <top style="medium">
        <color indexed="20"/>
      </top>
      <bottom style="hair">
        <color indexed="20"/>
      </bottom>
    </border>
    <border>
      <left>
        <color indexed="63"/>
      </left>
      <right style="medium">
        <color indexed="20"/>
      </right>
      <top style="hair">
        <color indexed="20"/>
      </top>
      <bottom style="hair">
        <color indexed="20"/>
      </bottom>
    </border>
    <border>
      <left>
        <color indexed="63"/>
      </left>
      <right style="medium">
        <color indexed="20"/>
      </right>
      <top style="hair">
        <color indexed="20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hair"/>
      <right style="hair"/>
      <top style="medium"/>
      <bottom style="dashed"/>
    </border>
    <border>
      <left style="hair"/>
      <right style="thin"/>
      <top style="medium"/>
      <bottom style="dashed"/>
    </border>
    <border>
      <left style="hair"/>
      <right style="hair"/>
      <top style="dashed"/>
      <bottom style="hair"/>
    </border>
    <border>
      <left style="hair"/>
      <right style="thin"/>
      <top style="dashed"/>
      <bottom style="hair"/>
    </border>
    <border>
      <left style="hair"/>
      <right style="hair"/>
      <top style="thin"/>
      <bottom style="dashed"/>
    </border>
    <border>
      <left style="hair"/>
      <right style="thin"/>
      <top style="thin"/>
      <bottom style="dashed"/>
    </border>
    <border>
      <left style="hair"/>
      <right>
        <color indexed="63"/>
      </right>
      <top style="medium"/>
      <bottom style="dashed"/>
    </border>
    <border>
      <left>
        <color indexed="63"/>
      </left>
      <right style="hair"/>
      <top style="medium"/>
      <bottom style="dashed"/>
    </border>
    <border>
      <left style="hair"/>
      <right>
        <color indexed="63"/>
      </right>
      <top style="dashed"/>
      <bottom style="hair"/>
    </border>
    <border>
      <left>
        <color indexed="63"/>
      </left>
      <right style="hair"/>
      <top style="dashed"/>
      <bottom style="hair"/>
    </border>
    <border>
      <left style="hair"/>
      <right>
        <color indexed="63"/>
      </right>
      <top style="thin"/>
      <bottom style="dashed"/>
    </border>
    <border>
      <left>
        <color indexed="63"/>
      </left>
      <right style="hair"/>
      <top style="thin"/>
      <bottom style="dashed"/>
    </border>
    <border>
      <left style="double">
        <color indexed="12"/>
      </left>
      <right style="hair"/>
      <top style="medium">
        <color indexed="12"/>
      </top>
      <bottom style="thin">
        <color indexed="12"/>
      </bottom>
    </border>
    <border>
      <left style="hair"/>
      <right style="hair"/>
      <top style="medium">
        <color indexed="12"/>
      </top>
      <bottom style="thin">
        <color indexed="12"/>
      </bottom>
    </border>
    <border>
      <left style="double">
        <color indexed="12"/>
      </left>
      <right style="hair"/>
      <top style="thin">
        <color indexed="12"/>
      </top>
      <bottom style="medium">
        <color indexed="12"/>
      </bottom>
    </border>
    <border>
      <left style="hair"/>
      <right style="hair"/>
      <top style="thin">
        <color indexed="12"/>
      </top>
      <bottom style="medium">
        <color indexed="12"/>
      </bottom>
    </border>
    <border>
      <left>
        <color indexed="63"/>
      </left>
      <right style="thin"/>
      <top style="medium"/>
      <bottom style="dashed"/>
    </border>
    <border>
      <left>
        <color indexed="63"/>
      </left>
      <right style="thin"/>
      <top style="dashed"/>
      <bottom style="hair"/>
    </border>
    <border>
      <left>
        <color indexed="63"/>
      </left>
      <right style="thin"/>
      <top style="thin"/>
      <bottom style="dashed"/>
    </border>
    <border>
      <left style="hair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thin"/>
      <bottom style="dashed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hair"/>
      <right style="double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hair"/>
      <right style="double"/>
      <top style="hair"/>
      <bottom style="thin"/>
    </border>
    <border>
      <left style="double"/>
      <right style="double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4" applyNumberFormat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32" borderId="0" applyNumberFormat="0" applyBorder="0" applyAlignment="0" applyProtection="0"/>
  </cellStyleXfs>
  <cellXfs count="974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horizontal="left"/>
    </xf>
    <xf numFmtId="0" fontId="4" fillId="33" borderId="11" xfId="0" applyFont="1" applyFill="1" applyBorder="1" applyAlignment="1">
      <alignment shrinkToFit="1"/>
    </xf>
    <xf numFmtId="0" fontId="4" fillId="0" borderId="11" xfId="0" applyFont="1" applyBorder="1" applyAlignment="1">
      <alignment shrinkToFi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2" fontId="4" fillId="34" borderId="19" xfId="0" applyNumberFormat="1" applyFont="1" applyFill="1" applyBorder="1" applyAlignment="1">
      <alignment/>
    </xf>
    <xf numFmtId="2" fontId="4" fillId="33" borderId="20" xfId="0" applyNumberFormat="1" applyFont="1" applyFill="1" applyBorder="1" applyAlignment="1">
      <alignment/>
    </xf>
    <xf numFmtId="176" fontId="4" fillId="34" borderId="21" xfId="0" applyNumberFormat="1" applyFont="1" applyFill="1" applyBorder="1" applyAlignment="1">
      <alignment/>
    </xf>
    <xf numFmtId="177" fontId="4" fillId="34" borderId="20" xfId="0" applyNumberFormat="1" applyFont="1" applyFill="1" applyBorder="1" applyAlignment="1">
      <alignment/>
    </xf>
    <xf numFmtId="176" fontId="4" fillId="33" borderId="20" xfId="0" applyNumberFormat="1" applyFont="1" applyFill="1" applyBorder="1" applyAlignment="1">
      <alignment/>
    </xf>
    <xf numFmtId="177" fontId="4" fillId="34" borderId="22" xfId="0" applyNumberFormat="1" applyFont="1" applyFill="1" applyBorder="1" applyAlignment="1">
      <alignment/>
    </xf>
    <xf numFmtId="2" fontId="4" fillId="33" borderId="23" xfId="0" applyNumberFormat="1" applyFont="1" applyFill="1" applyBorder="1" applyAlignment="1">
      <alignment/>
    </xf>
    <xf numFmtId="0" fontId="4" fillId="34" borderId="20" xfId="0" applyFont="1" applyFill="1" applyBorder="1" applyAlignment="1">
      <alignment/>
    </xf>
    <xf numFmtId="2" fontId="4" fillId="34" borderId="20" xfId="0" applyNumberFormat="1" applyFont="1" applyFill="1" applyBorder="1" applyAlignment="1">
      <alignment/>
    </xf>
    <xf numFmtId="0" fontId="4" fillId="33" borderId="20" xfId="0" applyFont="1" applyFill="1" applyBorder="1" applyAlignment="1">
      <alignment horizontal="center"/>
    </xf>
    <xf numFmtId="177" fontId="4" fillId="34" borderId="23" xfId="0" applyNumberFormat="1" applyFont="1" applyFill="1" applyBorder="1" applyAlignment="1">
      <alignment/>
    </xf>
    <xf numFmtId="179" fontId="4" fillId="34" borderId="23" xfId="0" applyNumberFormat="1" applyFont="1" applyFill="1" applyBorder="1" applyAlignment="1">
      <alignment/>
    </xf>
    <xf numFmtId="179" fontId="4" fillId="34" borderId="24" xfId="0" applyNumberFormat="1" applyFont="1" applyFill="1" applyBorder="1" applyAlignment="1">
      <alignment/>
    </xf>
    <xf numFmtId="0" fontId="4" fillId="34" borderId="20" xfId="0" applyFont="1" applyFill="1" applyBorder="1" applyAlignment="1">
      <alignment horizontal="center" shrinkToFit="1"/>
    </xf>
    <xf numFmtId="0" fontId="4" fillId="0" borderId="19" xfId="0" applyFont="1" applyBorder="1" applyAlignment="1">
      <alignment/>
    </xf>
    <xf numFmtId="0" fontId="4" fillId="0" borderId="25" xfId="0" applyFont="1" applyBorder="1" applyAlignment="1">
      <alignment/>
    </xf>
    <xf numFmtId="49" fontId="4" fillId="0" borderId="10" xfId="0" applyNumberFormat="1" applyFont="1" applyBorder="1" applyAlignment="1">
      <alignment horizontal="left" shrinkToFit="1"/>
    </xf>
    <xf numFmtId="49" fontId="4" fillId="0" borderId="0" xfId="0" applyNumberFormat="1" applyFont="1" applyBorder="1" applyAlignment="1">
      <alignment shrinkToFit="1"/>
    </xf>
    <xf numFmtId="49" fontId="4" fillId="0" borderId="17" xfId="0" applyNumberFormat="1" applyFont="1" applyBorder="1" applyAlignment="1">
      <alignment shrinkToFit="1"/>
    </xf>
    <xf numFmtId="176" fontId="4" fillId="0" borderId="14" xfId="0" applyNumberFormat="1" applyFont="1" applyBorder="1" applyAlignment="1">
      <alignment/>
    </xf>
    <xf numFmtId="0" fontId="4" fillId="0" borderId="26" xfId="0" applyFont="1" applyBorder="1" applyAlignment="1">
      <alignment/>
    </xf>
    <xf numFmtId="176" fontId="4" fillId="0" borderId="13" xfId="0" applyNumberFormat="1" applyFont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49" fontId="4" fillId="0" borderId="27" xfId="0" applyNumberFormat="1" applyFont="1" applyBorder="1" applyAlignment="1">
      <alignment horizontal="left" shrinkToFit="1"/>
    </xf>
    <xf numFmtId="49" fontId="4" fillId="0" borderId="28" xfId="0" applyNumberFormat="1" applyFont="1" applyBorder="1" applyAlignment="1">
      <alignment shrinkToFit="1"/>
    </xf>
    <xf numFmtId="49" fontId="4" fillId="0" borderId="29" xfId="0" applyNumberFormat="1" applyFont="1" applyBorder="1" applyAlignment="1">
      <alignment shrinkToFit="1"/>
    </xf>
    <xf numFmtId="176" fontId="4" fillId="0" borderId="30" xfId="0" applyNumberFormat="1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0" xfId="0" applyFont="1" applyBorder="1" applyAlignment="1">
      <alignment/>
    </xf>
    <xf numFmtId="176" fontId="4" fillId="0" borderId="33" xfId="0" applyNumberFormat="1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6" xfId="0" applyFont="1" applyBorder="1" applyAlignment="1">
      <alignment/>
    </xf>
    <xf numFmtId="49" fontId="4" fillId="28" borderId="37" xfId="0" applyNumberFormat="1" applyFont="1" applyFill="1" applyBorder="1" applyAlignment="1">
      <alignment horizontal="center" shrinkToFit="1"/>
    </xf>
    <xf numFmtId="49" fontId="4" fillId="33" borderId="38" xfId="0" applyNumberFormat="1" applyFont="1" applyFill="1" applyBorder="1" applyAlignment="1">
      <alignment horizontal="center" shrinkToFit="1"/>
    </xf>
    <xf numFmtId="49" fontId="4" fillId="33" borderId="24" xfId="0" applyNumberFormat="1" applyFont="1" applyFill="1" applyBorder="1" applyAlignment="1">
      <alignment horizontal="center" shrinkToFit="1"/>
    </xf>
    <xf numFmtId="49" fontId="4" fillId="0" borderId="39" xfId="0" applyNumberFormat="1" applyFont="1" applyBorder="1" applyAlignment="1">
      <alignment horizontal="left" shrinkToFit="1"/>
    </xf>
    <xf numFmtId="49" fontId="4" fillId="0" borderId="40" xfId="0" applyNumberFormat="1" applyFont="1" applyBorder="1" applyAlignment="1">
      <alignment shrinkToFit="1"/>
    </xf>
    <xf numFmtId="49" fontId="4" fillId="0" borderId="41" xfId="0" applyNumberFormat="1" applyFont="1" applyBorder="1" applyAlignment="1">
      <alignment shrinkToFit="1"/>
    </xf>
    <xf numFmtId="176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2" xfId="0" applyFont="1" applyBorder="1" applyAlignment="1">
      <alignment/>
    </xf>
    <xf numFmtId="176" fontId="4" fillId="0" borderId="45" xfId="0" applyNumberFormat="1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5" xfId="0" applyFont="1" applyBorder="1" applyAlignment="1">
      <alignment horizontal="center"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 horizontal="center"/>
    </xf>
    <xf numFmtId="0" fontId="4" fillId="0" borderId="47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48" xfId="0" applyFont="1" applyBorder="1" applyAlignment="1">
      <alignment/>
    </xf>
    <xf numFmtId="0" fontId="7" fillId="0" borderId="0" xfId="0" applyFont="1" applyAlignment="1">
      <alignment/>
    </xf>
    <xf numFmtId="0" fontId="7" fillId="0" borderId="49" xfId="0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176" fontId="4" fillId="0" borderId="55" xfId="0" applyNumberFormat="1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176" fontId="4" fillId="0" borderId="58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5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14" xfId="0" applyFont="1" applyBorder="1" applyAlignment="1">
      <alignment horizontal="center" shrinkToFit="1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28" borderId="0" xfId="0" applyFont="1" applyFill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176" fontId="7" fillId="0" borderId="55" xfId="0" applyNumberFormat="1" applyFont="1" applyBorder="1" applyAlignment="1">
      <alignment horizontal="center" vertical="center"/>
    </xf>
    <xf numFmtId="0" fontId="7" fillId="35" borderId="0" xfId="0" applyFont="1" applyFill="1" applyBorder="1" applyAlignment="1">
      <alignment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176" fontId="7" fillId="0" borderId="58" xfId="0" applyNumberFormat="1" applyFont="1" applyBorder="1" applyAlignment="1">
      <alignment horizontal="center" vertical="center"/>
    </xf>
    <xf numFmtId="176" fontId="7" fillId="35" borderId="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28" borderId="0" xfId="0" applyFont="1" applyFill="1" applyBorder="1" applyAlignment="1">
      <alignment horizontal="left" vertical="center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7" fillId="0" borderId="5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63" xfId="0" applyFont="1" applyBorder="1" applyAlignment="1">
      <alignment/>
    </xf>
    <xf numFmtId="0" fontId="7" fillId="0" borderId="64" xfId="0" applyFont="1" applyBorder="1" applyAlignment="1">
      <alignment/>
    </xf>
    <xf numFmtId="0" fontId="7" fillId="0" borderId="65" xfId="0" applyFont="1" applyBorder="1" applyAlignment="1">
      <alignment/>
    </xf>
    <xf numFmtId="0" fontId="7" fillId="0" borderId="66" xfId="0" applyFont="1" applyBorder="1" applyAlignment="1">
      <alignment horizontal="left"/>
    </xf>
    <xf numFmtId="0" fontId="7" fillId="0" borderId="67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7" fillId="0" borderId="71" xfId="0" applyFont="1" applyBorder="1" applyAlignment="1">
      <alignment horizontal="center"/>
    </xf>
    <xf numFmtId="0" fontId="7" fillId="0" borderId="13" xfId="0" applyFont="1" applyBorder="1" applyAlignment="1">
      <alignment horizontal="center" shrinkToFit="1"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 shrinkToFit="1"/>
    </xf>
    <xf numFmtId="178" fontId="7" fillId="0" borderId="13" xfId="0" applyNumberFormat="1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180" fontId="7" fillId="0" borderId="44" xfId="0" applyNumberFormat="1" applyFont="1" applyBorder="1" applyAlignment="1">
      <alignment horizontal="center"/>
    </xf>
    <xf numFmtId="180" fontId="7" fillId="0" borderId="45" xfId="0" applyNumberFormat="1" applyFont="1" applyBorder="1" applyAlignment="1">
      <alignment horizontal="center"/>
    </xf>
    <xf numFmtId="180" fontId="7" fillId="0" borderId="46" xfId="0" applyNumberFormat="1" applyFont="1" applyBorder="1" applyAlignment="1">
      <alignment horizontal="center"/>
    </xf>
    <xf numFmtId="180" fontId="7" fillId="0" borderId="47" xfId="0" applyNumberFormat="1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10" fillId="0" borderId="0" xfId="0" applyFont="1" applyAlignment="1">
      <alignment horizontal="centerContinuous" vertical="center"/>
    </xf>
    <xf numFmtId="0" fontId="4" fillId="0" borderId="30" xfId="0" applyFont="1" applyBorder="1" applyAlignment="1">
      <alignment horizontal="center" shrinkToFit="1"/>
    </xf>
    <xf numFmtId="0" fontId="4" fillId="0" borderId="42" xfId="0" applyFont="1" applyBorder="1" applyAlignment="1">
      <alignment horizontal="center" shrinkToFit="1"/>
    </xf>
    <xf numFmtId="0" fontId="4" fillId="36" borderId="0" xfId="0" applyFont="1" applyFill="1" applyAlignment="1">
      <alignment vertical="center"/>
    </xf>
    <xf numFmtId="0" fontId="4" fillId="37" borderId="0" xfId="0" applyFont="1" applyFill="1" applyAlignment="1">
      <alignment vertical="center"/>
    </xf>
    <xf numFmtId="0" fontId="4" fillId="38" borderId="0" xfId="0" applyFont="1" applyFill="1" applyAlignment="1">
      <alignment vertical="center"/>
    </xf>
    <xf numFmtId="0" fontId="11" fillId="0" borderId="0" xfId="0" applyFont="1" applyAlignment="1">
      <alignment horizontal="centerContinuous" vertical="center"/>
    </xf>
    <xf numFmtId="0" fontId="4" fillId="38" borderId="18" xfId="0" applyFont="1" applyFill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72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73" xfId="0" applyFont="1" applyBorder="1" applyAlignment="1">
      <alignment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vertical="center"/>
    </xf>
    <xf numFmtId="0" fontId="4" fillId="0" borderId="76" xfId="0" applyFont="1" applyBorder="1" applyAlignment="1">
      <alignment horizontal="right" vertical="center" shrinkToFit="1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vertical="center" shrinkToFit="1"/>
    </xf>
    <xf numFmtId="0" fontId="4" fillId="28" borderId="79" xfId="0" applyFont="1" applyFill="1" applyBorder="1" applyAlignment="1">
      <alignment horizontal="center" vertical="center"/>
    </xf>
    <xf numFmtId="0" fontId="4" fillId="0" borderId="63" xfId="0" applyFont="1" applyBorder="1" applyAlignment="1">
      <alignment horizontal="center" shrinkToFit="1"/>
    </xf>
    <xf numFmtId="0" fontId="4" fillId="0" borderId="11" xfId="0" applyFont="1" applyBorder="1" applyAlignment="1">
      <alignment/>
    </xf>
    <xf numFmtId="0" fontId="4" fillId="38" borderId="0" xfId="0" applyFont="1" applyFill="1" applyAlignment="1">
      <alignment/>
    </xf>
    <xf numFmtId="0" fontId="4" fillId="0" borderId="49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69" xfId="0" applyFont="1" applyBorder="1" applyAlignment="1">
      <alignment vertical="center"/>
    </xf>
    <xf numFmtId="0" fontId="4" fillId="0" borderId="70" xfId="0" applyFont="1" applyBorder="1" applyAlignment="1">
      <alignment horizontal="left"/>
    </xf>
    <xf numFmtId="0" fontId="4" fillId="0" borderId="66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84" xfId="0" applyFont="1" applyBorder="1" applyAlignment="1">
      <alignment shrinkToFit="1"/>
    </xf>
    <xf numFmtId="0" fontId="4" fillId="0" borderId="85" xfId="0" applyFont="1" applyBorder="1" applyAlignment="1">
      <alignment shrinkToFit="1"/>
    </xf>
    <xf numFmtId="0" fontId="4" fillId="0" borderId="86" xfId="0" applyFont="1" applyBorder="1" applyAlignment="1">
      <alignment shrinkToFit="1"/>
    </xf>
    <xf numFmtId="0" fontId="4" fillId="0" borderId="87" xfId="0" applyFont="1" applyBorder="1" applyAlignment="1">
      <alignment/>
    </xf>
    <xf numFmtId="0" fontId="4" fillId="0" borderId="85" xfId="0" applyFont="1" applyBorder="1" applyAlignment="1">
      <alignment/>
    </xf>
    <xf numFmtId="0" fontId="4" fillId="0" borderId="88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68" xfId="0" applyFont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4" fillId="0" borderId="90" xfId="0" applyFont="1" applyBorder="1" applyAlignment="1">
      <alignment/>
    </xf>
    <xf numFmtId="0" fontId="4" fillId="0" borderId="91" xfId="0" applyFont="1" applyBorder="1" applyAlignment="1">
      <alignment/>
    </xf>
    <xf numFmtId="0" fontId="4" fillId="0" borderId="92" xfId="0" applyFont="1" applyBorder="1" applyAlignment="1">
      <alignment/>
    </xf>
    <xf numFmtId="0" fontId="4" fillId="0" borderId="93" xfId="0" applyFont="1" applyBorder="1" applyAlignment="1">
      <alignment/>
    </xf>
    <xf numFmtId="0" fontId="4" fillId="0" borderId="94" xfId="0" applyFont="1" applyBorder="1" applyAlignment="1">
      <alignment/>
    </xf>
    <xf numFmtId="0" fontId="4" fillId="0" borderId="84" xfId="0" applyFont="1" applyBorder="1" applyAlignment="1">
      <alignment/>
    </xf>
    <xf numFmtId="0" fontId="4" fillId="0" borderId="91" xfId="0" applyFont="1" applyBorder="1" applyAlignment="1">
      <alignment shrinkToFit="1"/>
    </xf>
    <xf numFmtId="0" fontId="4" fillId="0" borderId="95" xfId="0" applyFont="1" applyBorder="1" applyAlignment="1">
      <alignment shrinkToFit="1"/>
    </xf>
    <xf numFmtId="0" fontId="4" fillId="0" borderId="96" xfId="0" applyFont="1" applyBorder="1" applyAlignment="1">
      <alignment/>
    </xf>
    <xf numFmtId="0" fontId="4" fillId="0" borderId="97" xfId="0" applyFont="1" applyBorder="1" applyAlignment="1">
      <alignment/>
    </xf>
    <xf numFmtId="0" fontId="4" fillId="0" borderId="98" xfId="0" applyFont="1" applyBorder="1" applyAlignment="1">
      <alignment/>
    </xf>
    <xf numFmtId="0" fontId="4" fillId="0" borderId="99" xfId="0" applyFont="1" applyBorder="1" applyAlignment="1">
      <alignment/>
    </xf>
    <xf numFmtId="0" fontId="4" fillId="0" borderId="100" xfId="0" applyFont="1" applyBorder="1" applyAlignment="1">
      <alignment/>
    </xf>
    <xf numFmtId="182" fontId="4" fillId="0" borderId="17" xfId="0" applyNumberFormat="1" applyFont="1" applyBorder="1" applyAlignment="1">
      <alignment horizontal="center" vertical="center"/>
    </xf>
    <xf numFmtId="182" fontId="4" fillId="0" borderId="13" xfId="0" applyNumberFormat="1" applyFont="1" applyBorder="1" applyAlignment="1">
      <alignment horizontal="center" vertical="center"/>
    </xf>
    <xf numFmtId="182" fontId="4" fillId="0" borderId="16" xfId="0" applyNumberFormat="1" applyFont="1" applyBorder="1" applyAlignment="1">
      <alignment horizontal="center" vertical="center"/>
    </xf>
    <xf numFmtId="182" fontId="4" fillId="0" borderId="15" xfId="0" applyNumberFormat="1" applyFont="1" applyBorder="1" applyAlignment="1">
      <alignment horizontal="center" vertical="center"/>
    </xf>
    <xf numFmtId="0" fontId="4" fillId="0" borderId="101" xfId="0" applyFont="1" applyBorder="1" applyAlignment="1">
      <alignment/>
    </xf>
    <xf numFmtId="0" fontId="4" fillId="0" borderId="102" xfId="0" applyFont="1" applyBorder="1" applyAlignment="1">
      <alignment/>
    </xf>
    <xf numFmtId="0" fontId="4" fillId="0" borderId="103" xfId="0" applyFont="1" applyBorder="1" applyAlignment="1">
      <alignment/>
    </xf>
    <xf numFmtId="0" fontId="4" fillId="0" borderId="95" xfId="0" applyFont="1" applyBorder="1" applyAlignment="1">
      <alignment/>
    </xf>
    <xf numFmtId="0" fontId="4" fillId="0" borderId="95" xfId="0" applyFont="1" applyBorder="1" applyAlignment="1">
      <alignment horizontal="right"/>
    </xf>
    <xf numFmtId="0" fontId="4" fillId="0" borderId="104" xfId="0" applyFont="1" applyBorder="1" applyAlignment="1">
      <alignment/>
    </xf>
    <xf numFmtId="0" fontId="4" fillId="0" borderId="105" xfId="0" applyFont="1" applyBorder="1" applyAlignment="1">
      <alignment/>
    </xf>
    <xf numFmtId="0" fontId="4" fillId="0" borderId="106" xfId="0" applyFont="1" applyBorder="1" applyAlignment="1">
      <alignment/>
    </xf>
    <xf numFmtId="0" fontId="4" fillId="0" borderId="107" xfId="0" applyFont="1" applyBorder="1" applyAlignment="1">
      <alignment/>
    </xf>
    <xf numFmtId="0" fontId="4" fillId="0" borderId="108" xfId="0" applyFont="1" applyBorder="1" applyAlignment="1">
      <alignment/>
    </xf>
    <xf numFmtId="180" fontId="4" fillId="0" borderId="47" xfId="0" applyNumberFormat="1" applyFont="1" applyBorder="1" applyAlignment="1">
      <alignment horizontal="center" vertical="center"/>
    </xf>
    <xf numFmtId="180" fontId="4" fillId="0" borderId="45" xfId="0" applyNumberFormat="1" applyFont="1" applyBorder="1" applyAlignment="1">
      <alignment horizontal="center" vertical="center"/>
    </xf>
    <xf numFmtId="180" fontId="4" fillId="0" borderId="46" xfId="0" applyNumberFormat="1" applyFont="1" applyBorder="1" applyAlignment="1">
      <alignment horizontal="center" vertical="center"/>
    </xf>
    <xf numFmtId="180" fontId="4" fillId="0" borderId="44" xfId="0" applyNumberFormat="1" applyFont="1" applyBorder="1" applyAlignment="1">
      <alignment horizontal="center" vertical="center"/>
    </xf>
    <xf numFmtId="180" fontId="4" fillId="0" borderId="41" xfId="0" applyNumberFormat="1" applyFont="1" applyBorder="1" applyAlignment="1">
      <alignment horizontal="center" vertical="center"/>
    </xf>
    <xf numFmtId="180" fontId="4" fillId="0" borderId="40" xfId="0" applyNumberFormat="1" applyFont="1" applyBorder="1" applyAlignment="1">
      <alignment horizontal="center" vertical="center"/>
    </xf>
    <xf numFmtId="180" fontId="4" fillId="0" borderId="42" xfId="0" applyNumberFormat="1" applyFont="1" applyBorder="1" applyAlignment="1">
      <alignment horizontal="center" vertical="center"/>
    </xf>
    <xf numFmtId="180" fontId="4" fillId="0" borderId="109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10" xfId="0" applyFont="1" applyBorder="1" applyAlignment="1">
      <alignment/>
    </xf>
    <xf numFmtId="0" fontId="4" fillId="0" borderId="111" xfId="0" applyFont="1" applyBorder="1" applyAlignment="1">
      <alignment/>
    </xf>
    <xf numFmtId="0" fontId="4" fillId="0" borderId="112" xfId="0" applyFont="1" applyBorder="1" applyAlignment="1">
      <alignment/>
    </xf>
    <xf numFmtId="0" fontId="4" fillId="0" borderId="113" xfId="0" applyFont="1" applyBorder="1" applyAlignment="1">
      <alignment horizontal="center"/>
    </xf>
    <xf numFmtId="0" fontId="4" fillId="0" borderId="111" xfId="0" applyFont="1" applyBorder="1" applyAlignment="1">
      <alignment horizontal="center"/>
    </xf>
    <xf numFmtId="0" fontId="4" fillId="0" borderId="114" xfId="0" applyFont="1" applyBorder="1" applyAlignment="1">
      <alignment horizontal="center"/>
    </xf>
    <xf numFmtId="0" fontId="4" fillId="0" borderId="115" xfId="0" applyFont="1" applyFill="1" applyBorder="1" applyAlignment="1">
      <alignment horizontal="center"/>
    </xf>
    <xf numFmtId="0" fontId="4" fillId="0" borderId="116" xfId="0" applyFont="1" applyBorder="1" applyAlignment="1">
      <alignment horizontal="center"/>
    </xf>
    <xf numFmtId="0" fontId="4" fillId="0" borderId="117" xfId="0" applyFont="1" applyBorder="1" applyAlignment="1">
      <alignment/>
    </xf>
    <xf numFmtId="0" fontId="4" fillId="0" borderId="118" xfId="0" applyFont="1" applyBorder="1" applyAlignment="1">
      <alignment/>
    </xf>
    <xf numFmtId="0" fontId="4" fillId="0" borderId="119" xfId="0" applyFont="1" applyBorder="1" applyAlignment="1">
      <alignment/>
    </xf>
    <xf numFmtId="0" fontId="4" fillId="0" borderId="120" xfId="0" applyFont="1" applyBorder="1" applyAlignment="1">
      <alignment/>
    </xf>
    <xf numFmtId="0" fontId="4" fillId="0" borderId="121" xfId="0" applyFont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4" fillId="0" borderId="16" xfId="0" applyFont="1" applyBorder="1" applyAlignment="1">
      <alignment vertical="center"/>
    </xf>
    <xf numFmtId="2" fontId="4" fillId="0" borderId="15" xfId="0" applyNumberFormat="1" applyFont="1" applyBorder="1" applyAlignment="1">
      <alignment vertical="center"/>
    </xf>
    <xf numFmtId="2" fontId="4" fillId="0" borderId="16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horizontal="center" vertical="center"/>
    </xf>
    <xf numFmtId="183" fontId="4" fillId="0" borderId="89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22" xfId="0" applyFont="1" applyBorder="1" applyAlignment="1">
      <alignment/>
    </xf>
    <xf numFmtId="0" fontId="4" fillId="35" borderId="123" xfId="0" applyFont="1" applyFill="1" applyBorder="1" applyAlignment="1">
      <alignment/>
    </xf>
    <xf numFmtId="2" fontId="4" fillId="35" borderId="104" xfId="0" applyNumberFormat="1" applyFont="1" applyFill="1" applyBorder="1" applyAlignment="1">
      <alignment/>
    </xf>
    <xf numFmtId="0" fontId="4" fillId="0" borderId="124" xfId="0" applyFont="1" applyBorder="1" applyAlignment="1">
      <alignment shrinkToFit="1"/>
    </xf>
    <xf numFmtId="2" fontId="4" fillId="0" borderId="125" xfId="0" applyNumberFormat="1" applyFont="1" applyBorder="1" applyAlignment="1">
      <alignment/>
    </xf>
    <xf numFmtId="0" fontId="4" fillId="0" borderId="126" xfId="0" applyFont="1" applyBorder="1" applyAlignment="1">
      <alignment/>
    </xf>
    <xf numFmtId="0" fontId="4" fillId="39" borderId="125" xfId="0" applyFont="1" applyFill="1" applyBorder="1" applyAlignment="1">
      <alignment/>
    </xf>
    <xf numFmtId="0" fontId="4" fillId="39" borderId="127" xfId="0" applyFont="1" applyFill="1" applyBorder="1" applyAlignment="1">
      <alignment/>
    </xf>
    <xf numFmtId="0" fontId="4" fillId="0" borderId="128" xfId="0" applyFont="1" applyFill="1" applyBorder="1" applyAlignment="1">
      <alignment/>
    </xf>
    <xf numFmtId="0" fontId="4" fillId="0" borderId="126" xfId="0" applyFont="1" applyFill="1" applyBorder="1" applyAlignment="1">
      <alignment/>
    </xf>
    <xf numFmtId="177" fontId="4" fillId="0" borderId="129" xfId="0" applyNumberFormat="1" applyFont="1" applyFill="1" applyBorder="1" applyAlignment="1">
      <alignment/>
    </xf>
    <xf numFmtId="0" fontId="4" fillId="39" borderId="130" xfId="0" applyFont="1" applyFill="1" applyBorder="1" applyAlignment="1">
      <alignment/>
    </xf>
    <xf numFmtId="0" fontId="4" fillId="0" borderId="130" xfId="0" applyFont="1" applyBorder="1" applyAlignment="1">
      <alignment/>
    </xf>
    <xf numFmtId="0" fontId="4" fillId="0" borderId="131" xfId="0" applyFont="1" applyBorder="1" applyAlignment="1">
      <alignment/>
    </xf>
    <xf numFmtId="0" fontId="4" fillId="0" borderId="132" xfId="0" applyFont="1" applyBorder="1" applyAlignment="1">
      <alignment/>
    </xf>
    <xf numFmtId="0" fontId="4" fillId="0" borderId="133" xfId="0" applyFont="1" applyBorder="1" applyAlignment="1">
      <alignment/>
    </xf>
    <xf numFmtId="0" fontId="4" fillId="0" borderId="134" xfId="0" applyFont="1" applyBorder="1" applyAlignment="1">
      <alignment/>
    </xf>
    <xf numFmtId="0" fontId="4" fillId="0" borderId="135" xfId="0" applyFont="1" applyBorder="1" applyAlignment="1">
      <alignment/>
    </xf>
    <xf numFmtId="2" fontId="4" fillId="0" borderId="23" xfId="0" applyNumberFormat="1" applyFont="1" applyFill="1" applyBorder="1" applyAlignment="1">
      <alignment horizontal="center" vertical="center"/>
    </xf>
    <xf numFmtId="179" fontId="4" fillId="0" borderId="23" xfId="0" applyNumberFormat="1" applyFont="1" applyFill="1" applyBorder="1" applyAlignment="1">
      <alignment vertical="center"/>
    </xf>
    <xf numFmtId="179" fontId="4" fillId="0" borderId="24" xfId="0" applyNumberFormat="1" applyFont="1" applyFill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vertical="center" shrinkToFit="1"/>
    </xf>
    <xf numFmtId="177" fontId="4" fillId="0" borderId="23" xfId="0" applyNumberFormat="1" applyFont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2" fontId="4" fillId="0" borderId="23" xfId="0" applyNumberFormat="1" applyFont="1" applyBorder="1" applyAlignment="1">
      <alignment vertical="center"/>
    </xf>
    <xf numFmtId="2" fontId="4" fillId="28" borderId="22" xfId="0" applyNumberFormat="1" applyFont="1" applyFill="1" applyBorder="1" applyAlignment="1">
      <alignment vertical="center"/>
    </xf>
    <xf numFmtId="176" fontId="4" fillId="28" borderId="24" xfId="0" applyNumberFormat="1" applyFont="1" applyFill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0" fontId="4" fillId="28" borderId="38" xfId="0" applyNumberFormat="1" applyFont="1" applyFill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83" fontId="4" fillId="28" borderId="136" xfId="0" applyNumberFormat="1" applyFont="1" applyFill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0" fontId="4" fillId="28" borderId="23" xfId="0" applyNumberFormat="1" applyFont="1" applyFill="1" applyBorder="1" applyAlignment="1">
      <alignment horizontal="center" vertical="center"/>
    </xf>
    <xf numFmtId="0" fontId="4" fillId="28" borderId="20" xfId="0" applyNumberFormat="1" applyFont="1" applyFill="1" applyBorder="1" applyAlignment="1">
      <alignment horizontal="center" vertical="center"/>
    </xf>
    <xf numFmtId="0" fontId="4" fillId="28" borderId="21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177" fontId="4" fillId="39" borderId="110" xfId="0" applyNumberFormat="1" applyFont="1" applyFill="1" applyBorder="1" applyAlignment="1">
      <alignment/>
    </xf>
    <xf numFmtId="177" fontId="4" fillId="39" borderId="111" xfId="0" applyNumberFormat="1" applyFont="1" applyFill="1" applyBorder="1" applyAlignment="1">
      <alignment/>
    </xf>
    <xf numFmtId="177" fontId="4" fillId="39" borderId="114" xfId="0" applyNumberFormat="1" applyFont="1" applyFill="1" applyBorder="1" applyAlignment="1">
      <alignment/>
    </xf>
    <xf numFmtId="177" fontId="4" fillId="39" borderId="137" xfId="0" applyNumberFormat="1" applyFont="1" applyFill="1" applyBorder="1" applyAlignment="1">
      <alignment/>
    </xf>
    <xf numFmtId="2" fontId="4" fillId="0" borderId="111" xfId="0" applyNumberFormat="1" applyFont="1" applyBorder="1" applyAlignment="1">
      <alignment/>
    </xf>
    <xf numFmtId="0" fontId="4" fillId="0" borderId="138" xfId="0" applyFont="1" applyBorder="1" applyAlignment="1">
      <alignment/>
    </xf>
    <xf numFmtId="0" fontId="4" fillId="39" borderId="111" xfId="0" applyFont="1" applyFill="1" applyBorder="1" applyAlignment="1">
      <alignment/>
    </xf>
    <xf numFmtId="0" fontId="4" fillId="39" borderId="138" xfId="0" applyFont="1" applyFill="1" applyBorder="1" applyAlignment="1">
      <alignment/>
    </xf>
    <xf numFmtId="0" fontId="4" fillId="0" borderId="115" xfId="0" applyFont="1" applyFill="1" applyBorder="1" applyAlignment="1">
      <alignment/>
    </xf>
    <xf numFmtId="0" fontId="4" fillId="0" borderId="111" xfId="0" applyFont="1" applyFill="1" applyBorder="1" applyAlignment="1">
      <alignment/>
    </xf>
    <xf numFmtId="0" fontId="4" fillId="0" borderId="139" xfId="0" applyFont="1" applyFill="1" applyBorder="1" applyAlignment="1">
      <alignment/>
    </xf>
    <xf numFmtId="0" fontId="4" fillId="0" borderId="116" xfId="0" applyFont="1" applyBorder="1" applyAlignment="1">
      <alignment/>
    </xf>
    <xf numFmtId="0" fontId="4" fillId="39" borderId="117" xfId="0" applyFont="1" applyFill="1" applyBorder="1" applyAlignment="1">
      <alignment/>
    </xf>
    <xf numFmtId="178" fontId="4" fillId="39" borderId="119" xfId="0" applyNumberFormat="1" applyFont="1" applyFill="1" applyBorder="1" applyAlignment="1">
      <alignment/>
    </xf>
    <xf numFmtId="0" fontId="4" fillId="39" borderId="119" xfId="0" applyFont="1" applyFill="1" applyBorder="1" applyAlignment="1">
      <alignment/>
    </xf>
    <xf numFmtId="0" fontId="4" fillId="0" borderId="120" xfId="0" applyNumberFormat="1" applyFont="1" applyBorder="1" applyAlignment="1">
      <alignment/>
    </xf>
    <xf numFmtId="0" fontId="4" fillId="39" borderId="121" xfId="0" applyFont="1" applyFill="1" applyBorder="1" applyAlignment="1">
      <alignment/>
    </xf>
    <xf numFmtId="0" fontId="4" fillId="0" borderId="10" xfId="0" applyFont="1" applyFill="1" applyBorder="1" applyAlignment="1">
      <alignment horizontal="left" shrinkToFit="1"/>
    </xf>
    <xf numFmtId="0" fontId="4" fillId="0" borderId="0" xfId="0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82" xfId="0" applyNumberFormat="1" applyFont="1" applyFill="1" applyBorder="1" applyAlignment="1">
      <alignment/>
    </xf>
    <xf numFmtId="176" fontId="4" fillId="0" borderId="140" xfId="0" applyNumberFormat="1" applyFont="1" applyFill="1" applyBorder="1" applyAlignment="1">
      <alignment/>
    </xf>
    <xf numFmtId="0" fontId="4" fillId="0" borderId="15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vertical="center"/>
    </xf>
    <xf numFmtId="0" fontId="4" fillId="0" borderId="141" xfId="0" applyFont="1" applyBorder="1" applyAlignment="1">
      <alignment/>
    </xf>
    <xf numFmtId="0" fontId="4" fillId="0" borderId="142" xfId="0" applyFont="1" applyBorder="1" applyAlignment="1">
      <alignment/>
    </xf>
    <xf numFmtId="0" fontId="4" fillId="0" borderId="143" xfId="0" applyFont="1" applyBorder="1" applyAlignment="1">
      <alignment/>
    </xf>
    <xf numFmtId="0" fontId="4" fillId="0" borderId="144" xfId="0" applyFont="1" applyBorder="1" applyAlignment="1">
      <alignment/>
    </xf>
    <xf numFmtId="0" fontId="4" fillId="0" borderId="145" xfId="0" applyFont="1" applyBorder="1" applyAlignment="1">
      <alignment/>
    </xf>
    <xf numFmtId="0" fontId="4" fillId="0" borderId="27" xfId="0" applyFont="1" applyFill="1" applyBorder="1" applyAlignment="1">
      <alignment horizontal="left" shrinkToFit="1"/>
    </xf>
    <xf numFmtId="0" fontId="4" fillId="0" borderId="28" xfId="0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176" fontId="4" fillId="0" borderId="33" xfId="0" applyNumberFormat="1" applyFont="1" applyFill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8" xfId="0" applyNumberFormat="1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center" vertical="center"/>
    </xf>
    <xf numFmtId="183" fontId="4" fillId="0" borderId="146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176" fontId="4" fillId="0" borderId="33" xfId="0" applyNumberFormat="1" applyFont="1" applyBorder="1" applyAlignment="1">
      <alignment horizontal="center" vertical="center"/>
    </xf>
    <xf numFmtId="176" fontId="4" fillId="0" borderId="34" xfId="0" applyNumberFormat="1" applyFont="1" applyBorder="1" applyAlignment="1">
      <alignment horizontal="center" vertical="center"/>
    </xf>
    <xf numFmtId="176" fontId="4" fillId="0" borderId="35" xfId="0" applyNumberFormat="1" applyFont="1" applyBorder="1" applyAlignment="1">
      <alignment horizontal="left" vertical="center"/>
    </xf>
    <xf numFmtId="0" fontId="4" fillId="0" borderId="32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147" xfId="0" applyFont="1" applyBorder="1" applyAlignment="1">
      <alignment/>
    </xf>
    <xf numFmtId="0" fontId="4" fillId="0" borderId="148" xfId="0" applyFont="1" applyBorder="1" applyAlignment="1">
      <alignment/>
    </xf>
    <xf numFmtId="0" fontId="4" fillId="0" borderId="149" xfId="0" applyFont="1" applyBorder="1" applyAlignment="1">
      <alignment/>
    </xf>
    <xf numFmtId="0" fontId="4" fillId="0" borderId="150" xfId="0" applyFont="1" applyBorder="1" applyAlignment="1">
      <alignment/>
    </xf>
    <xf numFmtId="0" fontId="4" fillId="0" borderId="151" xfId="0" applyFont="1" applyBorder="1" applyAlignment="1">
      <alignment/>
    </xf>
    <xf numFmtId="0" fontId="4" fillId="0" borderId="37" xfId="0" applyFont="1" applyFill="1" applyBorder="1" applyAlignment="1">
      <alignment horizontal="center" shrinkToFit="1"/>
    </xf>
    <xf numFmtId="0" fontId="4" fillId="0" borderId="38" xfId="0" applyFont="1" applyFill="1" applyBorder="1" applyAlignment="1">
      <alignment horizontal="center" shrinkToFit="1"/>
    </xf>
    <xf numFmtId="176" fontId="4" fillId="0" borderId="24" xfId="0" applyNumberFormat="1" applyFont="1" applyFill="1" applyBorder="1" applyAlignment="1">
      <alignment horizontal="center" shrinkToFit="1"/>
    </xf>
    <xf numFmtId="176" fontId="4" fillId="0" borderId="30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176" fontId="4" fillId="0" borderId="3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Continuous"/>
    </xf>
    <xf numFmtId="2" fontId="4" fillId="0" borderId="26" xfId="0" applyNumberFormat="1" applyFont="1" applyBorder="1" applyAlignment="1">
      <alignment shrinkToFit="1"/>
    </xf>
    <xf numFmtId="2" fontId="4" fillId="0" borderId="43" xfId="0" applyNumberFormat="1" applyFont="1" applyBorder="1" applyAlignment="1">
      <alignment shrinkToFit="1"/>
    </xf>
    <xf numFmtId="0" fontId="4" fillId="0" borderId="137" xfId="0" applyFont="1" applyBorder="1" applyAlignment="1">
      <alignment vertical="center"/>
    </xf>
    <xf numFmtId="0" fontId="4" fillId="0" borderId="152" xfId="0" applyFont="1" applyBorder="1" applyAlignment="1">
      <alignment vertical="center"/>
    </xf>
    <xf numFmtId="0" fontId="4" fillId="0" borderId="153" xfId="0" applyFont="1" applyBorder="1" applyAlignment="1">
      <alignment vertical="center"/>
    </xf>
    <xf numFmtId="0" fontId="4" fillId="0" borderId="154" xfId="0" applyFont="1" applyBorder="1" applyAlignment="1">
      <alignment horizontal="center"/>
    </xf>
    <xf numFmtId="0" fontId="4" fillId="0" borderId="155" xfId="0" applyFont="1" applyBorder="1" applyAlignment="1">
      <alignment horizontal="center"/>
    </xf>
    <xf numFmtId="0" fontId="4" fillId="0" borderId="143" xfId="0" applyFont="1" applyBorder="1" applyAlignment="1">
      <alignment horizontal="center"/>
    </xf>
    <xf numFmtId="0" fontId="4" fillId="0" borderId="149" xfId="0" applyFont="1" applyBorder="1" applyAlignment="1">
      <alignment horizontal="center"/>
    </xf>
    <xf numFmtId="0" fontId="4" fillId="0" borderId="156" xfId="0" applyFont="1" applyBorder="1" applyAlignment="1">
      <alignment horizontal="center"/>
    </xf>
    <xf numFmtId="0" fontId="4" fillId="0" borderId="115" xfId="0" applyFont="1" applyBorder="1" applyAlignment="1">
      <alignment horizontal="center"/>
    </xf>
    <xf numFmtId="0" fontId="4" fillId="0" borderId="112" xfId="0" applyFont="1" applyBorder="1" applyAlignment="1">
      <alignment horizontal="center"/>
    </xf>
    <xf numFmtId="0" fontId="4" fillId="0" borderId="91" xfId="0" applyFont="1" applyBorder="1" applyAlignment="1">
      <alignment horizontal="right"/>
    </xf>
    <xf numFmtId="0" fontId="4" fillId="0" borderId="101" xfId="0" applyFont="1" applyBorder="1" applyAlignment="1">
      <alignment horizontal="center"/>
    </xf>
    <xf numFmtId="0" fontId="4" fillId="0" borderId="95" xfId="0" applyFont="1" applyBorder="1" applyAlignment="1">
      <alignment horizontal="center"/>
    </xf>
    <xf numFmtId="0" fontId="4" fillId="0" borderId="96" xfId="0" applyFont="1" applyBorder="1" applyAlignment="1">
      <alignment horizontal="center"/>
    </xf>
    <xf numFmtId="0" fontId="4" fillId="0" borderId="157" xfId="0" applyFont="1" applyBorder="1" applyAlignment="1">
      <alignment/>
    </xf>
    <xf numFmtId="0" fontId="4" fillId="0" borderId="158" xfId="0" applyFont="1" applyBorder="1" applyAlignment="1">
      <alignment/>
    </xf>
    <xf numFmtId="0" fontId="4" fillId="0" borderId="138" xfId="0" applyFont="1" applyBorder="1" applyAlignment="1">
      <alignment horizontal="center"/>
    </xf>
    <xf numFmtId="0" fontId="4" fillId="0" borderId="159" xfId="0" applyFont="1" applyBorder="1" applyAlignment="1">
      <alignment horizontal="center"/>
    </xf>
    <xf numFmtId="0" fontId="4" fillId="0" borderId="160" xfId="0" applyFont="1" applyBorder="1" applyAlignment="1">
      <alignment horizontal="center"/>
    </xf>
    <xf numFmtId="0" fontId="4" fillId="0" borderId="101" xfId="0" applyFont="1" applyBorder="1" applyAlignment="1">
      <alignment horizontal="center" shrinkToFit="1"/>
    </xf>
    <xf numFmtId="0" fontId="4" fillId="0" borderId="130" xfId="0" applyFont="1" applyFill="1" applyBorder="1" applyAlignment="1">
      <alignment horizontal="center"/>
    </xf>
    <xf numFmtId="0" fontId="4" fillId="0" borderId="111" xfId="0" applyFont="1" applyFill="1" applyBorder="1" applyAlignment="1">
      <alignment horizontal="center"/>
    </xf>
    <xf numFmtId="0" fontId="4" fillId="0" borderId="142" xfId="0" applyFont="1" applyBorder="1" applyAlignment="1">
      <alignment horizontal="center"/>
    </xf>
    <xf numFmtId="0" fontId="4" fillId="0" borderId="148" xfId="0" applyFont="1" applyBorder="1" applyAlignment="1">
      <alignment horizontal="center"/>
    </xf>
    <xf numFmtId="181" fontId="4" fillId="34" borderId="20" xfId="0" applyNumberFormat="1" applyFont="1" applyFill="1" applyBorder="1" applyAlignment="1">
      <alignment shrinkToFit="1"/>
    </xf>
    <xf numFmtId="181" fontId="4" fillId="0" borderId="13" xfId="0" applyNumberFormat="1" applyFont="1" applyBorder="1" applyAlignment="1">
      <alignment shrinkToFit="1"/>
    </xf>
    <xf numFmtId="181" fontId="4" fillId="0" borderId="33" xfId="0" applyNumberFormat="1" applyFont="1" applyBorder="1" applyAlignment="1">
      <alignment shrinkToFit="1"/>
    </xf>
    <xf numFmtId="181" fontId="4" fillId="0" borderId="45" xfId="0" applyNumberFormat="1" applyFont="1" applyBorder="1" applyAlignment="1">
      <alignment shrinkToFit="1"/>
    </xf>
    <xf numFmtId="49" fontId="4" fillId="28" borderId="37" xfId="0" applyNumberFormat="1" applyFont="1" applyFill="1" applyBorder="1" applyAlignment="1">
      <alignment horizontal="left"/>
    </xf>
    <xf numFmtId="176" fontId="4" fillId="38" borderId="0" xfId="0" applyNumberFormat="1" applyFont="1" applyFill="1" applyAlignment="1">
      <alignment vertical="center"/>
    </xf>
    <xf numFmtId="0" fontId="7" fillId="40" borderId="64" xfId="0" applyFont="1" applyFill="1" applyBorder="1" applyAlignment="1">
      <alignment horizontal="center"/>
    </xf>
    <xf numFmtId="0" fontId="4" fillId="0" borderId="11" xfId="0" applyFont="1" applyBorder="1" applyAlignment="1">
      <alignment vertical="center"/>
    </xf>
    <xf numFmtId="2" fontId="4" fillId="0" borderId="26" xfId="0" applyNumberFormat="1" applyFont="1" applyBorder="1" applyAlignment="1">
      <alignment horizontal="right" shrinkToFit="1"/>
    </xf>
    <xf numFmtId="2" fontId="4" fillId="0" borderId="31" xfId="0" applyNumberFormat="1" applyFont="1" applyBorder="1" applyAlignment="1">
      <alignment horizontal="right" shrinkToFit="1"/>
    </xf>
    <xf numFmtId="0" fontId="4" fillId="0" borderId="161" xfId="0" applyFont="1" applyBorder="1" applyAlignment="1">
      <alignment horizontal="left" vertical="center"/>
    </xf>
    <xf numFmtId="0" fontId="4" fillId="0" borderId="162" xfId="0" applyFont="1" applyBorder="1" applyAlignment="1">
      <alignment horizontal="left" vertical="center"/>
    </xf>
    <xf numFmtId="0" fontId="4" fillId="0" borderId="163" xfId="0" applyFont="1" applyBorder="1" applyAlignment="1">
      <alignment vertical="center"/>
    </xf>
    <xf numFmtId="0" fontId="4" fillId="0" borderId="164" xfId="0" applyFont="1" applyBorder="1" applyAlignment="1">
      <alignment horizontal="right" vertical="center"/>
    </xf>
    <xf numFmtId="0" fontId="4" fillId="0" borderId="164" xfId="0" applyFont="1" applyBorder="1" applyAlignment="1">
      <alignment vertical="center"/>
    </xf>
    <xf numFmtId="0" fontId="4" fillId="0" borderId="165" xfId="0" applyFont="1" applyBorder="1" applyAlignment="1">
      <alignment vertical="center"/>
    </xf>
    <xf numFmtId="0" fontId="4" fillId="0" borderId="74" xfId="0" applyFont="1" applyBorder="1" applyAlignment="1">
      <alignment vertical="center"/>
    </xf>
    <xf numFmtId="0" fontId="4" fillId="0" borderId="77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184" fontId="4" fillId="28" borderId="166" xfId="0" applyNumberFormat="1" applyFont="1" applyFill="1" applyBorder="1" applyAlignment="1">
      <alignment horizontal="center" vertical="center"/>
    </xf>
    <xf numFmtId="184" fontId="4" fillId="28" borderId="167" xfId="0" applyNumberFormat="1" applyFont="1" applyFill="1" applyBorder="1" applyAlignment="1">
      <alignment horizontal="center" vertical="center"/>
    </xf>
    <xf numFmtId="0" fontId="4" fillId="7" borderId="168" xfId="0" applyNumberFormat="1" applyFont="1" applyFill="1" applyBorder="1" applyAlignment="1">
      <alignment horizontal="center" vertical="center"/>
    </xf>
    <xf numFmtId="0" fontId="4" fillId="33" borderId="169" xfId="0" applyFont="1" applyFill="1" applyBorder="1" applyAlignment="1">
      <alignment/>
    </xf>
    <xf numFmtId="176" fontId="4" fillId="33" borderId="169" xfId="0" applyNumberFormat="1" applyFont="1" applyFill="1" applyBorder="1" applyAlignment="1">
      <alignment/>
    </xf>
    <xf numFmtId="177" fontId="4" fillId="34" borderId="170" xfId="0" applyNumberFormat="1" applyFont="1" applyFill="1" applyBorder="1" applyAlignment="1">
      <alignment/>
    </xf>
    <xf numFmtId="177" fontId="4" fillId="34" borderId="171" xfId="0" applyNumberFormat="1" applyFont="1" applyFill="1" applyBorder="1" applyAlignment="1">
      <alignment/>
    </xf>
    <xf numFmtId="176" fontId="4" fillId="33" borderId="171" xfId="0" applyNumberFormat="1" applyFont="1" applyFill="1" applyBorder="1" applyAlignment="1">
      <alignment/>
    </xf>
    <xf numFmtId="176" fontId="4" fillId="34" borderId="171" xfId="0" applyNumberFormat="1" applyFont="1" applyFill="1" applyBorder="1" applyAlignment="1">
      <alignment/>
    </xf>
    <xf numFmtId="177" fontId="4" fillId="34" borderId="172" xfId="0" applyNumberFormat="1" applyFont="1" applyFill="1" applyBorder="1" applyAlignment="1">
      <alignment/>
    </xf>
    <xf numFmtId="0" fontId="4" fillId="33" borderId="173" xfId="0" applyFont="1" applyFill="1" applyBorder="1" applyAlignment="1">
      <alignment/>
    </xf>
    <xf numFmtId="176" fontId="4" fillId="33" borderId="173" xfId="0" applyNumberFormat="1" applyFont="1" applyFill="1" applyBorder="1" applyAlignment="1">
      <alignment/>
    </xf>
    <xf numFmtId="177" fontId="4" fillId="34" borderId="174" xfId="0" applyNumberFormat="1" applyFont="1" applyFill="1" applyBorder="1" applyAlignment="1">
      <alignment/>
    </xf>
    <xf numFmtId="0" fontId="4" fillId="33" borderId="169" xfId="0" applyFont="1" applyFill="1" applyBorder="1" applyAlignment="1">
      <alignment horizontal="center"/>
    </xf>
    <xf numFmtId="0" fontId="4" fillId="33" borderId="175" xfId="0" applyFont="1" applyFill="1" applyBorder="1" applyAlignment="1">
      <alignment shrinkToFit="1"/>
    </xf>
    <xf numFmtId="2" fontId="4" fillId="33" borderId="176" xfId="0" applyNumberFormat="1" applyFont="1" applyFill="1" applyBorder="1" applyAlignment="1">
      <alignment/>
    </xf>
    <xf numFmtId="2" fontId="4" fillId="33" borderId="169" xfId="0" applyNumberFormat="1" applyFont="1" applyFill="1" applyBorder="1" applyAlignment="1">
      <alignment/>
    </xf>
    <xf numFmtId="2" fontId="4" fillId="33" borderId="169" xfId="0" applyNumberFormat="1" applyFont="1" applyFill="1" applyBorder="1" applyAlignment="1">
      <alignment horizontal="center" shrinkToFit="1"/>
    </xf>
    <xf numFmtId="0" fontId="4" fillId="33" borderId="171" xfId="0" applyFont="1" applyFill="1" applyBorder="1" applyAlignment="1">
      <alignment horizontal="center"/>
    </xf>
    <xf numFmtId="0" fontId="4" fillId="33" borderId="177" xfId="0" applyFont="1" applyFill="1" applyBorder="1" applyAlignment="1">
      <alignment shrinkToFit="1"/>
    </xf>
    <xf numFmtId="2" fontId="4" fillId="33" borderId="178" xfId="0" applyNumberFormat="1" applyFont="1" applyFill="1" applyBorder="1" applyAlignment="1">
      <alignment/>
    </xf>
    <xf numFmtId="2" fontId="4" fillId="33" borderId="171" xfId="0" applyNumberFormat="1" applyFont="1" applyFill="1" applyBorder="1" applyAlignment="1">
      <alignment/>
    </xf>
    <xf numFmtId="2" fontId="4" fillId="33" borderId="171" xfId="0" applyNumberFormat="1" applyFont="1" applyFill="1" applyBorder="1" applyAlignment="1">
      <alignment horizontal="center" shrinkToFit="1"/>
    </xf>
    <xf numFmtId="0" fontId="4" fillId="33" borderId="173" xfId="0" applyFont="1" applyFill="1" applyBorder="1" applyAlignment="1">
      <alignment horizontal="center"/>
    </xf>
    <xf numFmtId="0" fontId="4" fillId="33" borderId="179" xfId="0" applyFont="1" applyFill="1" applyBorder="1" applyAlignment="1">
      <alignment shrinkToFit="1"/>
    </xf>
    <xf numFmtId="2" fontId="4" fillId="33" borderId="180" xfId="0" applyNumberFormat="1" applyFont="1" applyFill="1" applyBorder="1" applyAlignment="1">
      <alignment/>
    </xf>
    <xf numFmtId="2" fontId="4" fillId="33" borderId="173" xfId="0" applyNumberFormat="1" applyFont="1" applyFill="1" applyBorder="1" applyAlignment="1">
      <alignment/>
    </xf>
    <xf numFmtId="2" fontId="4" fillId="33" borderId="173" xfId="0" applyNumberFormat="1" applyFont="1" applyFill="1" applyBorder="1" applyAlignment="1">
      <alignment horizontal="center" shrinkToFit="1"/>
    </xf>
    <xf numFmtId="2" fontId="4" fillId="41" borderId="181" xfId="0" applyNumberFormat="1" applyFont="1" applyFill="1" applyBorder="1" applyAlignment="1">
      <alignment/>
    </xf>
    <xf numFmtId="2" fontId="4" fillId="41" borderId="182" xfId="0" applyNumberFormat="1" applyFont="1" applyFill="1" applyBorder="1" applyAlignment="1">
      <alignment/>
    </xf>
    <xf numFmtId="2" fontId="4" fillId="41" borderId="183" xfId="0" applyNumberFormat="1" applyFont="1" applyFill="1" applyBorder="1" applyAlignment="1">
      <alignment/>
    </xf>
    <xf numFmtId="2" fontId="4" fillId="41" borderId="184" xfId="0" applyNumberFormat="1" applyFont="1" applyFill="1" applyBorder="1" applyAlignment="1">
      <alignment/>
    </xf>
    <xf numFmtId="0" fontId="4" fillId="34" borderId="175" xfId="0" applyFont="1" applyFill="1" applyBorder="1" applyAlignment="1">
      <alignment horizontal="center" shrinkToFit="1"/>
    </xf>
    <xf numFmtId="2" fontId="4" fillId="34" borderId="185" xfId="0" applyNumberFormat="1" applyFont="1" applyFill="1" applyBorder="1" applyAlignment="1">
      <alignment horizontal="right" shrinkToFit="1"/>
    </xf>
    <xf numFmtId="0" fontId="4" fillId="34" borderId="177" xfId="0" applyFont="1" applyFill="1" applyBorder="1" applyAlignment="1">
      <alignment horizontal="center" shrinkToFit="1"/>
    </xf>
    <xf numFmtId="2" fontId="4" fillId="34" borderId="186" xfId="0" applyNumberFormat="1" applyFont="1" applyFill="1" applyBorder="1" applyAlignment="1">
      <alignment horizontal="right" shrinkToFit="1"/>
    </xf>
    <xf numFmtId="0" fontId="4" fillId="34" borderId="179" xfId="0" applyFont="1" applyFill="1" applyBorder="1" applyAlignment="1">
      <alignment horizontal="center" shrinkToFit="1"/>
    </xf>
    <xf numFmtId="2" fontId="4" fillId="34" borderId="187" xfId="0" applyNumberFormat="1" applyFont="1" applyFill="1" applyBorder="1" applyAlignment="1">
      <alignment horizontal="right" shrinkToFit="1"/>
    </xf>
    <xf numFmtId="2" fontId="4" fillId="0" borderId="188" xfId="0" applyNumberFormat="1" applyFont="1" applyBorder="1" applyAlignment="1">
      <alignment/>
    </xf>
    <xf numFmtId="2" fontId="4" fillId="0" borderId="112" xfId="0" applyNumberFormat="1" applyFont="1" applyBorder="1" applyAlignment="1">
      <alignment/>
    </xf>
    <xf numFmtId="0" fontId="4" fillId="0" borderId="156" xfId="0" applyFont="1" applyBorder="1" applyAlignment="1">
      <alignment/>
    </xf>
    <xf numFmtId="0" fontId="4" fillId="0" borderId="189" xfId="0" applyFont="1" applyBorder="1" applyAlignment="1">
      <alignment/>
    </xf>
    <xf numFmtId="0" fontId="4" fillId="0" borderId="190" xfId="0" applyFont="1" applyBorder="1" applyAlignment="1">
      <alignment/>
    </xf>
    <xf numFmtId="0" fontId="4" fillId="0" borderId="191" xfId="0" applyFont="1" applyBorder="1" applyAlignment="1">
      <alignment/>
    </xf>
    <xf numFmtId="0" fontId="4" fillId="0" borderId="192" xfId="0" applyFont="1" applyBorder="1" applyAlignment="1">
      <alignment/>
    </xf>
    <xf numFmtId="0" fontId="4" fillId="0" borderId="193" xfId="0" applyFont="1" applyBorder="1" applyAlignment="1">
      <alignment/>
    </xf>
    <xf numFmtId="2" fontId="4" fillId="0" borderId="126" xfId="0" applyNumberFormat="1" applyFont="1" applyFill="1" applyBorder="1" applyAlignment="1">
      <alignment horizontal="center" shrinkToFit="1"/>
    </xf>
    <xf numFmtId="0" fontId="7" fillId="42" borderId="69" xfId="0" applyFont="1" applyFill="1" applyBorder="1" applyAlignment="1">
      <alignment horizontal="center"/>
    </xf>
    <xf numFmtId="0" fontId="7" fillId="42" borderId="13" xfId="0" applyFont="1" applyFill="1" applyBorder="1" applyAlignment="1">
      <alignment horizontal="center"/>
    </xf>
    <xf numFmtId="0" fontId="7" fillId="42" borderId="14" xfId="0" applyFont="1" applyFill="1" applyBorder="1" applyAlignment="1">
      <alignment horizontal="left"/>
    </xf>
    <xf numFmtId="0" fontId="7" fillId="42" borderId="14" xfId="0" applyFont="1" applyFill="1" applyBorder="1" applyAlignment="1">
      <alignment horizontal="center"/>
    </xf>
    <xf numFmtId="0" fontId="7" fillId="42" borderId="81" xfId="0" applyFont="1" applyFill="1" applyBorder="1" applyAlignment="1">
      <alignment horizontal="center"/>
    </xf>
    <xf numFmtId="0" fontId="7" fillId="42" borderId="0" xfId="0" applyFont="1" applyFill="1" applyBorder="1" applyAlignment="1">
      <alignment horizontal="center"/>
    </xf>
    <xf numFmtId="180" fontId="7" fillId="42" borderId="42" xfId="0" applyNumberFormat="1" applyFont="1" applyFill="1" applyBorder="1" applyAlignment="1">
      <alignment horizontal="center"/>
    </xf>
    <xf numFmtId="180" fontId="7" fillId="42" borderId="42" xfId="0" applyNumberFormat="1" applyFont="1" applyFill="1" applyBorder="1" applyAlignment="1">
      <alignment horizontal="left"/>
    </xf>
    <xf numFmtId="180" fontId="7" fillId="42" borderId="40" xfId="0" applyNumberFormat="1" applyFont="1" applyFill="1" applyBorder="1" applyAlignment="1">
      <alignment horizontal="center"/>
    </xf>
    <xf numFmtId="2" fontId="4" fillId="42" borderId="175" xfId="0" applyNumberFormat="1" applyFont="1" applyFill="1" applyBorder="1" applyAlignment="1">
      <alignment horizontal="center"/>
    </xf>
    <xf numFmtId="177" fontId="4" fillId="42" borderId="175" xfId="0" applyNumberFormat="1" applyFont="1" applyFill="1" applyBorder="1" applyAlignment="1">
      <alignment horizontal="right"/>
    </xf>
    <xf numFmtId="177" fontId="4" fillId="42" borderId="175" xfId="0" applyNumberFormat="1" applyFont="1" applyFill="1" applyBorder="1" applyAlignment="1">
      <alignment horizontal="center"/>
    </xf>
    <xf numFmtId="2" fontId="4" fillId="42" borderId="194" xfId="0" applyNumberFormat="1" applyFont="1" applyFill="1" applyBorder="1" applyAlignment="1">
      <alignment/>
    </xf>
    <xf numFmtId="2" fontId="4" fillId="42" borderId="177" xfId="0" applyNumberFormat="1" applyFont="1" applyFill="1" applyBorder="1" applyAlignment="1">
      <alignment horizontal="center"/>
    </xf>
    <xf numFmtId="177" fontId="4" fillId="42" borderId="177" xfId="0" applyNumberFormat="1" applyFont="1" applyFill="1" applyBorder="1" applyAlignment="1">
      <alignment horizontal="right"/>
    </xf>
    <xf numFmtId="177" fontId="4" fillId="42" borderId="177" xfId="0" applyNumberFormat="1" applyFont="1" applyFill="1" applyBorder="1" applyAlignment="1">
      <alignment horizontal="center"/>
    </xf>
    <xf numFmtId="2" fontId="4" fillId="42" borderId="195" xfId="0" applyNumberFormat="1" applyFont="1" applyFill="1" applyBorder="1" applyAlignment="1">
      <alignment/>
    </xf>
    <xf numFmtId="0" fontId="4" fillId="42" borderId="14" xfId="0" applyFont="1" applyFill="1" applyBorder="1" applyAlignment="1">
      <alignment/>
    </xf>
    <xf numFmtId="0" fontId="4" fillId="42" borderId="14" xfId="0" applyFont="1" applyFill="1" applyBorder="1" applyAlignment="1">
      <alignment horizontal="right"/>
    </xf>
    <xf numFmtId="0" fontId="4" fillId="42" borderId="0" xfId="0" applyFont="1" applyFill="1" applyBorder="1" applyAlignment="1">
      <alignment/>
    </xf>
    <xf numFmtId="0" fontId="4" fillId="42" borderId="30" xfId="0" applyFont="1" applyFill="1" applyBorder="1" applyAlignment="1">
      <alignment/>
    </xf>
    <xf numFmtId="0" fontId="4" fillId="42" borderId="30" xfId="0" applyFont="1" applyFill="1" applyBorder="1" applyAlignment="1">
      <alignment horizontal="right"/>
    </xf>
    <xf numFmtId="0" fontId="4" fillId="42" borderId="28" xfId="0" applyFont="1" applyFill="1" applyBorder="1" applyAlignment="1">
      <alignment/>
    </xf>
    <xf numFmtId="2" fontId="4" fillId="42" borderId="179" xfId="0" applyNumberFormat="1" applyFont="1" applyFill="1" applyBorder="1" applyAlignment="1">
      <alignment horizontal="center"/>
    </xf>
    <xf numFmtId="177" fontId="4" fillId="42" borderId="179" xfId="0" applyNumberFormat="1" applyFont="1" applyFill="1" applyBorder="1" applyAlignment="1">
      <alignment horizontal="right"/>
    </xf>
    <xf numFmtId="177" fontId="4" fillId="42" borderId="179" xfId="0" applyNumberFormat="1" applyFont="1" applyFill="1" applyBorder="1" applyAlignment="1">
      <alignment horizontal="center"/>
    </xf>
    <xf numFmtId="2" fontId="4" fillId="42" borderId="196" xfId="0" applyNumberFormat="1" applyFont="1" applyFill="1" applyBorder="1" applyAlignment="1">
      <alignment/>
    </xf>
    <xf numFmtId="2" fontId="4" fillId="42" borderId="196" xfId="0" applyNumberFormat="1" applyFont="1" applyFill="1" applyBorder="1" applyAlignment="1">
      <alignment horizontal="center"/>
    </xf>
    <xf numFmtId="2" fontId="4" fillId="42" borderId="195" xfId="0" applyNumberFormat="1" applyFont="1" applyFill="1" applyBorder="1" applyAlignment="1">
      <alignment horizontal="center"/>
    </xf>
    <xf numFmtId="0" fontId="4" fillId="42" borderId="42" xfId="0" applyFont="1" applyFill="1" applyBorder="1" applyAlignment="1">
      <alignment/>
    </xf>
    <xf numFmtId="0" fontId="4" fillId="42" borderId="42" xfId="0" applyFont="1" applyFill="1" applyBorder="1" applyAlignment="1">
      <alignment horizontal="right"/>
    </xf>
    <xf numFmtId="0" fontId="4" fillId="42" borderId="40" xfId="0" applyFont="1" applyFill="1" applyBorder="1" applyAlignment="1">
      <alignment/>
    </xf>
    <xf numFmtId="0" fontId="7" fillId="42" borderId="80" xfId="0" applyFont="1" applyFill="1" applyBorder="1" applyAlignment="1">
      <alignment horizontal="center"/>
    </xf>
    <xf numFmtId="0" fontId="7" fillId="42" borderId="17" xfId="0" applyFont="1" applyFill="1" applyBorder="1" applyAlignment="1">
      <alignment horizontal="center"/>
    </xf>
    <xf numFmtId="180" fontId="7" fillId="42" borderId="41" xfId="0" applyNumberFormat="1" applyFont="1" applyFill="1" applyBorder="1" applyAlignment="1">
      <alignment horizontal="center"/>
    </xf>
    <xf numFmtId="2" fontId="4" fillId="42" borderId="176" xfId="0" applyNumberFormat="1" applyFont="1" applyFill="1" applyBorder="1" applyAlignment="1">
      <alignment/>
    </xf>
    <xf numFmtId="2" fontId="4" fillId="42" borderId="178" xfId="0" applyNumberFormat="1" applyFont="1" applyFill="1" applyBorder="1" applyAlignment="1">
      <alignment/>
    </xf>
    <xf numFmtId="0" fontId="4" fillId="42" borderId="17" xfId="0" applyFont="1" applyFill="1" applyBorder="1" applyAlignment="1">
      <alignment/>
    </xf>
    <xf numFmtId="0" fontId="4" fillId="42" borderId="29" xfId="0" applyFont="1" applyFill="1" applyBorder="1" applyAlignment="1">
      <alignment/>
    </xf>
    <xf numFmtId="2" fontId="4" fillId="42" borderId="180" xfId="0" applyNumberFormat="1" applyFont="1" applyFill="1" applyBorder="1" applyAlignment="1">
      <alignment/>
    </xf>
    <xf numFmtId="0" fontId="4" fillId="42" borderId="41" xfId="0" applyFont="1" applyFill="1" applyBorder="1" applyAlignment="1">
      <alignment/>
    </xf>
    <xf numFmtId="180" fontId="7" fillId="0" borderId="45" xfId="0" applyNumberFormat="1" applyFont="1" applyBorder="1" applyAlignment="1">
      <alignment horizontal="center" shrinkToFit="1"/>
    </xf>
    <xf numFmtId="0" fontId="4" fillId="0" borderId="39" xfId="0" applyFont="1" applyFill="1" applyBorder="1" applyAlignment="1">
      <alignment horizontal="left" shrinkToFit="1"/>
    </xf>
    <xf numFmtId="0" fontId="4" fillId="0" borderId="40" xfId="0" applyFont="1" applyFill="1" applyBorder="1" applyAlignment="1">
      <alignment/>
    </xf>
    <xf numFmtId="176" fontId="4" fillId="0" borderId="41" xfId="0" applyNumberFormat="1" applyFont="1" applyFill="1" applyBorder="1" applyAlignment="1">
      <alignment/>
    </xf>
    <xf numFmtId="176" fontId="4" fillId="0" borderId="42" xfId="0" applyNumberFormat="1" applyFont="1" applyFill="1" applyBorder="1" applyAlignment="1">
      <alignment/>
    </xf>
    <xf numFmtId="176" fontId="4" fillId="0" borderId="43" xfId="0" applyNumberFormat="1" applyFont="1" applyFill="1" applyBorder="1" applyAlignment="1">
      <alignment/>
    </xf>
    <xf numFmtId="0" fontId="4" fillId="0" borderId="47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176" fontId="4" fillId="0" borderId="45" xfId="0" applyNumberFormat="1" applyFont="1" applyFill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0" xfId="0" applyNumberFormat="1" applyFont="1" applyBorder="1" applyAlignment="1">
      <alignment horizontal="center" vertical="center"/>
    </xf>
    <xf numFmtId="176" fontId="4" fillId="0" borderId="42" xfId="0" applyNumberFormat="1" applyFont="1" applyBorder="1" applyAlignment="1">
      <alignment horizontal="center" vertical="center"/>
    </xf>
    <xf numFmtId="183" fontId="4" fillId="0" borderId="109" xfId="0" applyNumberFormat="1" applyFont="1" applyBorder="1" applyAlignment="1">
      <alignment horizontal="center" vertical="center"/>
    </xf>
    <xf numFmtId="176" fontId="4" fillId="0" borderId="41" xfId="0" applyNumberFormat="1" applyFont="1" applyBorder="1" applyAlignment="1">
      <alignment horizontal="center" vertical="center"/>
    </xf>
    <xf numFmtId="176" fontId="4" fillId="0" borderId="45" xfId="0" applyNumberFormat="1" applyFont="1" applyBorder="1" applyAlignment="1">
      <alignment horizontal="center" vertical="center"/>
    </xf>
    <xf numFmtId="176" fontId="4" fillId="0" borderId="46" xfId="0" applyNumberFormat="1" applyFont="1" applyBorder="1" applyAlignment="1">
      <alignment horizontal="center" vertical="center"/>
    </xf>
    <xf numFmtId="176" fontId="4" fillId="0" borderId="47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vertical="center"/>
    </xf>
    <xf numFmtId="0" fontId="4" fillId="0" borderId="59" xfId="0" applyFont="1" applyFill="1" applyBorder="1" applyAlignment="1">
      <alignment horizontal="left"/>
    </xf>
    <xf numFmtId="0" fontId="4" fillId="0" borderId="60" xfId="0" applyFont="1" applyFill="1" applyBorder="1" applyAlignment="1">
      <alignment shrinkToFit="1"/>
    </xf>
    <xf numFmtId="0" fontId="4" fillId="0" borderId="197" xfId="0" applyFont="1" applyFill="1" applyBorder="1" applyAlignment="1">
      <alignment horizontal="center" vertical="center"/>
    </xf>
    <xf numFmtId="0" fontId="4" fillId="0" borderId="197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198" xfId="0" applyFont="1" applyBorder="1" applyAlignment="1">
      <alignment horizontal="center" vertical="center"/>
    </xf>
    <xf numFmtId="0" fontId="4" fillId="0" borderId="61" xfId="0" applyFont="1" applyBorder="1" applyAlignment="1">
      <alignment vertical="center"/>
    </xf>
    <xf numFmtId="0" fontId="4" fillId="0" borderId="198" xfId="0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0" fontId="4" fillId="0" borderId="199" xfId="0" applyFont="1" applyBorder="1" applyAlignment="1">
      <alignment vertical="center"/>
    </xf>
    <xf numFmtId="2" fontId="4" fillId="0" borderId="197" xfId="0" applyNumberFormat="1" applyFont="1" applyBorder="1" applyAlignment="1">
      <alignment vertical="center"/>
    </xf>
    <xf numFmtId="2" fontId="4" fillId="0" borderId="199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176" fontId="4" fillId="0" borderId="61" xfId="0" applyNumberFormat="1" applyFont="1" applyBorder="1" applyAlignment="1">
      <alignment horizontal="center" vertical="center"/>
    </xf>
    <xf numFmtId="183" fontId="4" fillId="0" borderId="200" xfId="0" applyNumberFormat="1" applyFont="1" applyBorder="1" applyAlignment="1">
      <alignment horizontal="center" vertical="center"/>
    </xf>
    <xf numFmtId="176" fontId="4" fillId="0" borderId="60" xfId="0" applyNumberFormat="1" applyFont="1" applyBorder="1" applyAlignment="1">
      <alignment horizontal="center" vertical="center"/>
    </xf>
    <xf numFmtId="176" fontId="4" fillId="0" borderId="198" xfId="0" applyNumberFormat="1" applyFont="1" applyBorder="1" applyAlignment="1">
      <alignment horizontal="center" vertical="center"/>
    </xf>
    <xf numFmtId="176" fontId="4" fillId="0" borderId="199" xfId="0" applyNumberFormat="1" applyFont="1" applyBorder="1" applyAlignment="1">
      <alignment horizontal="center" vertical="center"/>
    </xf>
    <xf numFmtId="176" fontId="4" fillId="0" borderId="197" xfId="0" applyNumberFormat="1" applyFont="1" applyBorder="1" applyAlignment="1">
      <alignment horizontal="center" vertical="center"/>
    </xf>
    <xf numFmtId="0" fontId="4" fillId="0" borderId="201" xfId="0" applyFont="1" applyBorder="1" applyAlignment="1">
      <alignment vertical="center"/>
    </xf>
    <xf numFmtId="0" fontId="4" fillId="0" borderId="11" xfId="0" applyFont="1" applyFill="1" applyBorder="1" applyAlignment="1">
      <alignment shrinkToFit="1"/>
    </xf>
    <xf numFmtId="0" fontId="4" fillId="0" borderId="0" xfId="0" applyFont="1" applyBorder="1" applyAlignment="1">
      <alignment horizontal="center" vertical="center" shrinkToFit="1"/>
    </xf>
    <xf numFmtId="176" fontId="4" fillId="33" borderId="21" xfId="0" applyNumberFormat="1" applyFont="1" applyFill="1" applyBorder="1" applyAlignment="1">
      <alignment shrinkToFit="1"/>
    </xf>
    <xf numFmtId="176" fontId="4" fillId="33" borderId="202" xfId="0" applyNumberFormat="1" applyFont="1" applyFill="1" applyBorder="1" applyAlignment="1">
      <alignment shrinkToFit="1"/>
    </xf>
    <xf numFmtId="49" fontId="4" fillId="0" borderId="10" xfId="0" applyNumberFormat="1" applyFont="1" applyBorder="1" applyAlignment="1">
      <alignment horizontal="left"/>
    </xf>
    <xf numFmtId="0" fontId="7" fillId="0" borderId="69" xfId="0" applyFont="1" applyBorder="1" applyAlignment="1">
      <alignment horizontal="left"/>
    </xf>
    <xf numFmtId="2" fontId="4" fillId="5" borderId="20" xfId="0" applyNumberFormat="1" applyFont="1" applyFill="1" applyBorder="1" applyAlignment="1">
      <alignment/>
    </xf>
    <xf numFmtId="0" fontId="11" fillId="0" borderId="69" xfId="0" applyFont="1" applyFill="1" applyBorder="1" applyAlignment="1">
      <alignment horizontal="left"/>
    </xf>
    <xf numFmtId="0" fontId="7" fillId="0" borderId="69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Continuous"/>
    </xf>
    <xf numFmtId="0" fontId="7" fillId="0" borderId="13" xfId="0" applyFont="1" applyFill="1" applyBorder="1" applyAlignment="1">
      <alignment/>
    </xf>
    <xf numFmtId="2" fontId="4" fillId="5" borderId="169" xfId="0" applyNumberFormat="1" applyFont="1" applyFill="1" applyBorder="1" applyAlignment="1">
      <alignment/>
    </xf>
    <xf numFmtId="2" fontId="4" fillId="5" borderId="171" xfId="0" applyNumberFormat="1" applyFont="1" applyFill="1" applyBorder="1" applyAlignment="1">
      <alignment/>
    </xf>
    <xf numFmtId="2" fontId="4" fillId="5" borderId="173" xfId="0" applyNumberFormat="1" applyFont="1" applyFill="1" applyBorder="1" applyAlignment="1">
      <alignment/>
    </xf>
    <xf numFmtId="0" fontId="4" fillId="0" borderId="203" xfId="0" applyFont="1" applyBorder="1" applyAlignment="1">
      <alignment/>
    </xf>
    <xf numFmtId="0" fontId="4" fillId="0" borderId="204" xfId="0" applyFont="1" applyBorder="1" applyAlignment="1">
      <alignment horizontal="center"/>
    </xf>
    <xf numFmtId="0" fontId="4" fillId="0" borderId="205" xfId="0" applyFont="1" applyBorder="1" applyAlignment="1">
      <alignment/>
    </xf>
    <xf numFmtId="0" fontId="4" fillId="0" borderId="206" xfId="0" applyFont="1" applyBorder="1" applyAlignment="1">
      <alignment/>
    </xf>
    <xf numFmtId="0" fontId="4" fillId="0" borderId="204" xfId="0" applyFont="1" applyBorder="1" applyAlignment="1">
      <alignment/>
    </xf>
    <xf numFmtId="181" fontId="4" fillId="0" borderId="204" xfId="0" applyNumberFormat="1" applyFont="1" applyBorder="1" applyAlignment="1">
      <alignment shrinkToFit="1"/>
    </xf>
    <xf numFmtId="0" fontId="4" fillId="0" borderId="207" xfId="0" applyFont="1" applyBorder="1" applyAlignment="1">
      <alignment/>
    </xf>
    <xf numFmtId="176" fontId="4" fillId="0" borderId="208" xfId="0" applyNumberFormat="1" applyFont="1" applyBorder="1" applyAlignment="1">
      <alignment/>
    </xf>
    <xf numFmtId="0" fontId="4" fillId="0" borderId="208" xfId="0" applyFont="1" applyBorder="1" applyAlignment="1">
      <alignment/>
    </xf>
    <xf numFmtId="0" fontId="4" fillId="0" borderId="209" xfId="0" applyFont="1" applyBorder="1" applyAlignment="1">
      <alignment/>
    </xf>
    <xf numFmtId="0" fontId="4" fillId="0" borderId="210" xfId="0" applyFont="1" applyBorder="1" applyAlignment="1">
      <alignment/>
    </xf>
    <xf numFmtId="2" fontId="4" fillId="35" borderId="125" xfId="0" applyNumberFormat="1" applyFont="1" applyFill="1" applyBorder="1" applyAlignment="1">
      <alignment/>
    </xf>
    <xf numFmtId="181" fontId="4" fillId="33" borderId="24" xfId="0" applyNumberFormat="1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 shrinkToFit="1"/>
    </xf>
    <xf numFmtId="0" fontId="4" fillId="0" borderId="16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209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18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211" xfId="0" applyFont="1" applyBorder="1" applyAlignment="1">
      <alignment horizontal="center"/>
    </xf>
    <xf numFmtId="180" fontId="7" fillId="0" borderId="212" xfId="0" applyNumberFormat="1" applyFont="1" applyBorder="1" applyAlignment="1">
      <alignment horizontal="center"/>
    </xf>
    <xf numFmtId="0" fontId="4" fillId="0" borderId="211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/>
    </xf>
    <xf numFmtId="181" fontId="4" fillId="33" borderId="213" xfId="0" applyNumberFormat="1" applyFont="1" applyFill="1" applyBorder="1" applyAlignment="1">
      <alignment/>
    </xf>
    <xf numFmtId="0" fontId="4" fillId="0" borderId="21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13" fillId="0" borderId="0" xfId="0" applyFont="1" applyAlignment="1">
      <alignment horizontal="centerContinuous" vertical="center"/>
    </xf>
    <xf numFmtId="0" fontId="15" fillId="0" borderId="49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180" fontId="15" fillId="0" borderId="45" xfId="0" applyNumberFormat="1" applyFont="1" applyBorder="1" applyAlignment="1">
      <alignment horizontal="center"/>
    </xf>
    <xf numFmtId="179" fontId="17" fillId="34" borderId="24" xfId="0" applyNumberFormat="1" applyFont="1" applyFill="1" applyBorder="1" applyAlignment="1">
      <alignment/>
    </xf>
    <xf numFmtId="0" fontId="17" fillId="0" borderId="17" xfId="0" applyFont="1" applyFill="1" applyBorder="1" applyAlignment="1">
      <alignment/>
    </xf>
    <xf numFmtId="0" fontId="17" fillId="0" borderId="29" xfId="0" applyFont="1" applyFill="1" applyBorder="1" applyAlignment="1">
      <alignment/>
    </xf>
    <xf numFmtId="0" fontId="17" fillId="0" borderId="17" xfId="0" applyFont="1" applyBorder="1" applyAlignment="1">
      <alignment/>
    </xf>
    <xf numFmtId="0" fontId="17" fillId="0" borderId="207" xfId="0" applyFont="1" applyBorder="1" applyAlignment="1">
      <alignment/>
    </xf>
    <xf numFmtId="0" fontId="17" fillId="0" borderId="41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80" fontId="7" fillId="0" borderId="4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18" fillId="0" borderId="59" xfId="61" applyBorder="1">
      <alignment/>
      <protection/>
    </xf>
    <xf numFmtId="0" fontId="18" fillId="0" borderId="11" xfId="61" applyBorder="1">
      <alignment/>
      <protection/>
    </xf>
    <xf numFmtId="0" fontId="22" fillId="0" borderId="11" xfId="61" applyFont="1" applyBorder="1" applyAlignment="1">
      <alignment horizontal="center"/>
      <protection/>
    </xf>
    <xf numFmtId="0" fontId="18" fillId="0" borderId="11" xfId="61" applyBorder="1" applyAlignment="1">
      <alignment horizontal="center"/>
      <protection/>
    </xf>
    <xf numFmtId="0" fontId="18" fillId="0" borderId="72" xfId="61" applyBorder="1">
      <alignment/>
      <protection/>
    </xf>
    <xf numFmtId="0" fontId="18" fillId="0" borderId="0" xfId="61">
      <alignment/>
      <protection/>
    </xf>
    <xf numFmtId="0" fontId="18" fillId="0" borderId="10" xfId="61" applyBorder="1">
      <alignment/>
      <protection/>
    </xf>
    <xf numFmtId="0" fontId="18" fillId="0" borderId="0" xfId="61" applyBorder="1" applyAlignment="1">
      <alignment horizontal="center" vertical="center"/>
      <protection/>
    </xf>
    <xf numFmtId="0" fontId="18" fillId="0" borderId="0" xfId="61" applyBorder="1">
      <alignment/>
      <protection/>
    </xf>
    <xf numFmtId="0" fontId="18" fillId="0" borderId="18" xfId="61" applyBorder="1">
      <alignment/>
      <protection/>
    </xf>
    <xf numFmtId="0" fontId="18" fillId="0" borderId="0" xfId="61" applyBorder="1" applyAlignment="1">
      <alignment horizontal="center"/>
      <protection/>
    </xf>
    <xf numFmtId="185" fontId="18" fillId="0" borderId="10" xfId="61" applyNumberFormat="1" applyBorder="1" applyAlignment="1">
      <alignment vertical="center"/>
      <protection/>
    </xf>
    <xf numFmtId="185" fontId="22" fillId="0" borderId="215" xfId="61" applyNumberFormat="1" applyFont="1" applyBorder="1" applyAlignment="1">
      <alignment horizontal="center" vertical="center" shrinkToFit="1"/>
      <protection/>
    </xf>
    <xf numFmtId="185" fontId="18" fillId="0" borderId="18" xfId="61" applyNumberFormat="1" applyBorder="1" applyAlignment="1">
      <alignment vertical="center"/>
      <protection/>
    </xf>
    <xf numFmtId="185" fontId="18" fillId="0" borderId="0" xfId="61" applyNumberFormat="1" applyAlignment="1">
      <alignment vertical="center"/>
      <protection/>
    </xf>
    <xf numFmtId="0" fontId="23" fillId="0" borderId="215" xfId="61" applyNumberFormat="1" applyFont="1" applyFill="1" applyBorder="1" applyAlignment="1" applyProtection="1">
      <alignment horizontal="center" vertical="center" shrinkToFit="1"/>
      <protection hidden="1"/>
    </xf>
    <xf numFmtId="0" fontId="79" fillId="0" borderId="215" xfId="61" applyNumberFormat="1" applyFont="1" applyFill="1" applyBorder="1" applyAlignment="1" applyProtection="1">
      <alignment horizontal="center" vertical="center" shrinkToFit="1"/>
      <protection locked="0"/>
    </xf>
    <xf numFmtId="2" fontId="23" fillId="0" borderId="215" xfId="61" applyNumberFormat="1" applyFont="1" applyFill="1" applyBorder="1" applyAlignment="1" applyProtection="1">
      <alignment horizontal="center" vertical="center" shrinkToFit="1"/>
      <protection hidden="1"/>
    </xf>
    <xf numFmtId="2" fontId="79" fillId="0" borderId="215" xfId="61" applyNumberFormat="1" applyFont="1" applyFill="1" applyBorder="1" applyAlignment="1" applyProtection="1">
      <alignment horizontal="center" vertical="center" shrinkToFit="1"/>
      <protection locked="0"/>
    </xf>
    <xf numFmtId="181" fontId="79" fillId="0" borderId="215" xfId="61" applyNumberFormat="1" applyFont="1" applyFill="1" applyBorder="1" applyAlignment="1" applyProtection="1">
      <alignment horizontal="center" vertical="center" shrinkToFit="1"/>
      <protection locked="0"/>
    </xf>
    <xf numFmtId="185" fontId="79" fillId="0" borderId="215" xfId="61" applyNumberFormat="1" applyFont="1" applyFill="1" applyBorder="1" applyAlignment="1" applyProtection="1">
      <alignment horizontal="center" vertical="center" shrinkToFit="1"/>
      <protection locked="0"/>
    </xf>
    <xf numFmtId="185" fontId="23" fillId="0" borderId="215" xfId="61" applyNumberFormat="1" applyFont="1" applyFill="1" applyBorder="1" applyAlignment="1" applyProtection="1">
      <alignment horizontal="center" vertical="center" shrinkToFit="1"/>
      <protection hidden="1"/>
    </xf>
    <xf numFmtId="181" fontId="79" fillId="43" borderId="215" xfId="61" applyNumberFormat="1" applyFont="1" applyFill="1" applyBorder="1" applyAlignment="1" applyProtection="1">
      <alignment horizontal="center" vertical="center" shrinkToFit="1"/>
      <protection locked="0"/>
    </xf>
    <xf numFmtId="185" fontId="79" fillId="43" borderId="215" xfId="61" applyNumberFormat="1" applyFont="1" applyFill="1" applyBorder="1" applyAlignment="1" applyProtection="1">
      <alignment horizontal="center" vertical="center" shrinkToFit="1"/>
      <protection locked="0"/>
    </xf>
    <xf numFmtId="2" fontId="79" fillId="43" borderId="215" xfId="61" applyNumberFormat="1" applyFont="1" applyFill="1" applyBorder="1" applyAlignment="1" applyProtection="1">
      <alignment horizontal="center" vertical="center" shrinkToFit="1"/>
      <protection locked="0"/>
    </xf>
    <xf numFmtId="0" fontId="18" fillId="0" borderId="39" xfId="61" applyBorder="1">
      <alignment/>
      <protection/>
    </xf>
    <xf numFmtId="0" fontId="18" fillId="0" borderId="40" xfId="61" applyBorder="1" applyAlignment="1">
      <alignment horizontal="center" vertical="center"/>
      <protection/>
    </xf>
    <xf numFmtId="0" fontId="18" fillId="0" borderId="40" xfId="61" applyBorder="1">
      <alignment/>
      <protection/>
    </xf>
    <xf numFmtId="0" fontId="18" fillId="0" borderId="40" xfId="61" applyBorder="1" applyAlignment="1">
      <alignment horizontal="center"/>
      <protection/>
    </xf>
    <xf numFmtId="0" fontId="18" fillId="0" borderId="48" xfId="61" applyBorder="1">
      <alignment/>
      <protection/>
    </xf>
    <xf numFmtId="0" fontId="18" fillId="0" borderId="0" xfId="61" applyAlignment="1">
      <alignment horizontal="center" vertical="center"/>
      <protection/>
    </xf>
    <xf numFmtId="0" fontId="18" fillId="0" borderId="0" xfId="61" applyAlignment="1">
      <alignment horizontal="center"/>
      <protection/>
    </xf>
    <xf numFmtId="0" fontId="24" fillId="0" borderId="0" xfId="63" applyFont="1">
      <alignment/>
      <protection/>
    </xf>
    <xf numFmtId="0" fontId="24" fillId="0" borderId="0" xfId="64" applyFont="1">
      <alignment/>
      <protection/>
    </xf>
    <xf numFmtId="0" fontId="26" fillId="0" borderId="0" xfId="64" applyFont="1" applyBorder="1" applyAlignment="1">
      <alignment horizontal="center"/>
      <protection/>
    </xf>
    <xf numFmtId="0" fontId="27" fillId="0" borderId="0" xfId="64" applyFont="1" applyAlignment="1">
      <alignment horizontal="center"/>
      <protection/>
    </xf>
    <xf numFmtId="0" fontId="27" fillId="0" borderId="0" xfId="64" applyFont="1">
      <alignment/>
      <protection/>
    </xf>
    <xf numFmtId="186" fontId="24" fillId="0" borderId="0" xfId="64" applyNumberFormat="1" applyFont="1">
      <alignment/>
      <protection/>
    </xf>
    <xf numFmtId="187" fontId="24" fillId="0" borderId="0" xfId="64" applyNumberFormat="1" applyFont="1">
      <alignment/>
      <protection/>
    </xf>
    <xf numFmtId="0" fontId="24" fillId="0" borderId="0" xfId="64" applyFont="1" applyAlignment="1">
      <alignment horizontal="center"/>
      <protection/>
    </xf>
    <xf numFmtId="186" fontId="25" fillId="0" borderId="204" xfId="64" applyNumberFormat="1" applyFont="1" applyBorder="1" applyAlignment="1">
      <alignment horizontal="center" vertical="center" shrinkToFit="1"/>
      <protection/>
    </xf>
    <xf numFmtId="186" fontId="25" fillId="0" borderId="204" xfId="64" applyNumberFormat="1" applyFont="1" applyBorder="1" applyAlignment="1">
      <alignment horizontal="center" vertical="center" wrapText="1"/>
      <protection/>
    </xf>
    <xf numFmtId="187" fontId="25" fillId="0" borderId="204" xfId="64" applyNumberFormat="1" applyFont="1" applyBorder="1" applyAlignment="1">
      <alignment horizontal="center" vertical="center" shrinkToFit="1"/>
      <protection/>
    </xf>
    <xf numFmtId="187" fontId="25" fillId="0" borderId="216" xfId="64" applyNumberFormat="1" applyFont="1" applyBorder="1" applyAlignment="1">
      <alignment horizontal="center" vertical="center" shrinkToFit="1"/>
      <protection/>
    </xf>
    <xf numFmtId="187" fontId="25" fillId="0" borderId="217" xfId="64" applyNumberFormat="1" applyFont="1" applyBorder="1" applyAlignment="1">
      <alignment horizontal="center" vertical="center" shrinkToFit="1"/>
      <protection/>
    </xf>
    <xf numFmtId="187" fontId="28" fillId="40" borderId="218" xfId="64" applyNumberFormat="1" applyFont="1" applyFill="1" applyBorder="1" applyAlignment="1">
      <alignment horizontal="center" vertical="center" shrinkToFit="1"/>
      <protection/>
    </xf>
    <xf numFmtId="187" fontId="28" fillId="40" borderId="217" xfId="64" applyNumberFormat="1" applyFont="1" applyFill="1" applyBorder="1" applyAlignment="1">
      <alignment horizontal="center" vertical="center" shrinkToFit="1"/>
      <protection/>
    </xf>
    <xf numFmtId="186" fontId="24" fillId="0" borderId="13" xfId="64" applyNumberFormat="1" applyFont="1" applyBorder="1" applyAlignment="1">
      <alignment horizontal="center" vertical="center" shrinkToFit="1"/>
      <protection/>
    </xf>
    <xf numFmtId="186" fontId="24" fillId="0" borderId="13" xfId="64" applyNumberFormat="1" applyFont="1" applyBorder="1" applyAlignment="1">
      <alignment horizontal="center" vertical="center" wrapText="1"/>
      <protection/>
    </xf>
    <xf numFmtId="187" fontId="24" fillId="0" borderId="14" xfId="64" applyNumberFormat="1" applyFont="1" applyBorder="1" applyAlignment="1">
      <alignment horizontal="center" vertical="center" shrinkToFit="1"/>
      <protection/>
    </xf>
    <xf numFmtId="187" fontId="24" fillId="0" borderId="219" xfId="64" applyNumberFormat="1" applyFont="1" applyBorder="1" applyAlignment="1">
      <alignment horizontal="center" vertical="center" shrinkToFit="1"/>
      <protection/>
    </xf>
    <xf numFmtId="187" fontId="24" fillId="0" borderId="220" xfId="64" applyNumberFormat="1" applyFont="1" applyBorder="1" applyAlignment="1">
      <alignment horizontal="center" vertical="center" shrinkToFit="1"/>
      <protection/>
    </xf>
    <xf numFmtId="187" fontId="28" fillId="40" borderId="221" xfId="64" applyNumberFormat="1" applyFont="1" applyFill="1" applyBorder="1" applyAlignment="1">
      <alignment horizontal="center" vertical="center" shrinkToFit="1"/>
      <protection/>
    </xf>
    <xf numFmtId="187" fontId="28" fillId="40" borderId="220" xfId="64" applyNumberFormat="1" applyFont="1" applyFill="1" applyBorder="1" applyAlignment="1">
      <alignment horizontal="center" vertical="center" shrinkToFit="1"/>
      <protection/>
    </xf>
    <xf numFmtId="0" fontId="25" fillId="0" borderId="33" xfId="64" applyFont="1" applyBorder="1" applyAlignment="1">
      <alignment horizontal="center" shrinkToFit="1"/>
      <protection/>
    </xf>
    <xf numFmtId="186" fontId="25" fillId="0" borderId="33" xfId="64" applyNumberFormat="1" applyFont="1" applyBorder="1" applyAlignment="1">
      <alignment horizontal="center" shrinkToFit="1"/>
      <protection/>
    </xf>
    <xf numFmtId="187" fontId="25" fillId="0" borderId="30" xfId="64" applyNumberFormat="1" applyFont="1" applyBorder="1" applyAlignment="1">
      <alignment horizontal="center" shrinkToFit="1"/>
      <protection/>
    </xf>
    <xf numFmtId="187" fontId="25" fillId="0" borderId="222" xfId="64" applyNumberFormat="1" applyFont="1" applyBorder="1" applyAlignment="1">
      <alignment horizontal="center" shrinkToFit="1"/>
      <protection/>
    </xf>
    <xf numFmtId="187" fontId="24" fillId="0" borderId="223" xfId="64" applyNumberFormat="1" applyFont="1" applyBorder="1" applyAlignment="1">
      <alignment horizontal="center" shrinkToFit="1"/>
      <protection/>
    </xf>
    <xf numFmtId="187" fontId="29" fillId="40" borderId="224" xfId="64" applyNumberFormat="1" applyFont="1" applyFill="1" applyBorder="1" applyAlignment="1">
      <alignment horizontal="center" shrinkToFit="1"/>
      <protection/>
    </xf>
    <xf numFmtId="187" fontId="29" fillId="40" borderId="223" xfId="64" applyNumberFormat="1" applyFont="1" applyFill="1" applyBorder="1" applyAlignment="1">
      <alignment horizontal="center" shrinkToFit="1"/>
      <protection/>
    </xf>
    <xf numFmtId="0" fontId="30" fillId="0" borderId="53" xfId="64" applyFont="1" applyFill="1" applyBorder="1" applyAlignment="1" applyProtection="1">
      <alignment horizontal="center" vertical="center"/>
      <protection hidden="1"/>
    </xf>
    <xf numFmtId="0" fontId="30" fillId="0" borderId="54" xfId="64" applyFont="1" applyFill="1" applyBorder="1" applyAlignment="1" applyProtection="1">
      <alignment horizontal="center" vertical="center"/>
      <protection hidden="1"/>
    </xf>
    <xf numFmtId="186" fontId="80" fillId="0" borderId="54" xfId="64" applyNumberFormat="1" applyFont="1" applyBorder="1" applyAlignment="1" applyProtection="1">
      <alignment horizontal="center" vertical="center"/>
      <protection locked="0"/>
    </xf>
    <xf numFmtId="2" fontId="30" fillId="0" borderId="54" xfId="64" applyNumberFormat="1" applyFont="1" applyBorder="1" applyAlignment="1" applyProtection="1">
      <alignment horizontal="center" vertical="center"/>
      <protection hidden="1"/>
    </xf>
    <xf numFmtId="189" fontId="30" fillId="0" borderId="54" xfId="64" applyNumberFormat="1" applyFont="1" applyBorder="1" applyAlignment="1" applyProtection="1">
      <alignment horizontal="center" vertical="center"/>
      <protection hidden="1"/>
    </xf>
    <xf numFmtId="189" fontId="81" fillId="0" borderId="54" xfId="64" applyNumberFormat="1" applyFont="1" applyBorder="1" applyAlignment="1" applyProtection="1">
      <alignment horizontal="center" vertical="center"/>
      <protection locked="0"/>
    </xf>
    <xf numFmtId="190" fontId="31" fillId="0" borderId="54" xfId="64" applyNumberFormat="1" applyFont="1" applyBorder="1" applyAlignment="1" applyProtection="1">
      <alignment horizontal="center" vertical="center"/>
      <protection locked="0"/>
    </xf>
    <xf numFmtId="188" fontId="81" fillId="0" borderId="54" xfId="64" applyNumberFormat="1" applyFont="1" applyBorder="1" applyAlignment="1" applyProtection="1">
      <alignment horizontal="center" vertical="center"/>
      <protection locked="0"/>
    </xf>
    <xf numFmtId="2" fontId="30" fillId="0" borderId="225" xfId="64" applyNumberFormat="1" applyFont="1" applyBorder="1" applyAlignment="1" applyProtection="1">
      <alignment horizontal="center" vertical="center"/>
      <protection hidden="1"/>
    </xf>
    <xf numFmtId="2" fontId="30" fillId="0" borderId="226" xfId="64" applyNumberFormat="1" applyFont="1" applyBorder="1" applyAlignment="1" applyProtection="1">
      <alignment horizontal="center" vertical="center"/>
      <protection hidden="1"/>
    </xf>
    <xf numFmtId="179" fontId="30" fillId="0" borderId="227" xfId="64" applyNumberFormat="1" applyFont="1" applyBorder="1" applyAlignment="1" applyProtection="1">
      <alignment horizontal="center" vertical="center"/>
      <protection hidden="1"/>
    </xf>
    <xf numFmtId="2" fontId="32" fillId="40" borderId="228" xfId="64" applyNumberFormat="1" applyFont="1" applyFill="1" applyBorder="1" applyAlignment="1" applyProtection="1">
      <alignment horizontal="center" vertical="center"/>
      <protection hidden="1"/>
    </xf>
    <xf numFmtId="2" fontId="82" fillId="40" borderId="227" xfId="64" applyNumberFormat="1" applyFont="1" applyFill="1" applyBorder="1" applyAlignment="1" applyProtection="1">
      <alignment horizontal="center" vertical="center"/>
      <protection locked="0"/>
    </xf>
    <xf numFmtId="2" fontId="33" fillId="0" borderId="229" xfId="64" applyNumberFormat="1" applyFont="1" applyBorder="1" applyAlignment="1" applyProtection="1">
      <alignment horizontal="center" vertical="center"/>
      <protection locked="0"/>
    </xf>
    <xf numFmtId="181" fontId="24" fillId="0" borderId="0" xfId="64" applyNumberFormat="1" applyFont="1">
      <alignment/>
      <protection/>
    </xf>
    <xf numFmtId="189" fontId="81" fillId="0" borderId="54" xfId="64" applyNumberFormat="1" applyFont="1" applyFill="1" applyBorder="1" applyAlignment="1" applyProtection="1">
      <alignment horizontal="center" vertical="center"/>
      <protection locked="0"/>
    </xf>
    <xf numFmtId="0" fontId="30" fillId="0" borderId="23" xfId="64" applyFont="1" applyBorder="1" applyAlignment="1" applyProtection="1">
      <alignment horizontal="center" vertical="center"/>
      <protection hidden="1"/>
    </xf>
    <xf numFmtId="179" fontId="30" fillId="0" borderId="54" xfId="64" applyNumberFormat="1" applyFont="1" applyBorder="1" applyAlignment="1" applyProtection="1">
      <alignment horizontal="center" vertical="center"/>
      <protection hidden="1"/>
    </xf>
    <xf numFmtId="179" fontId="81" fillId="0" borderId="54" xfId="64" applyNumberFormat="1" applyFont="1" applyBorder="1" applyAlignment="1" applyProtection="1">
      <alignment horizontal="center" vertical="center"/>
      <protection locked="0"/>
    </xf>
    <xf numFmtId="191" fontId="81" fillId="0" borderId="54" xfId="64" applyNumberFormat="1" applyFont="1" applyBorder="1" applyAlignment="1" applyProtection="1">
      <alignment horizontal="center" vertical="center"/>
      <protection locked="0"/>
    </xf>
    <xf numFmtId="2" fontId="30" fillId="0" borderId="227" xfId="64" applyNumberFormat="1" applyFont="1" applyBorder="1" applyAlignment="1" applyProtection="1">
      <alignment horizontal="center" vertical="center"/>
      <protection hidden="1"/>
    </xf>
    <xf numFmtId="2" fontId="32" fillId="40" borderId="69" xfId="64" applyNumberFormat="1" applyFont="1" applyFill="1" applyBorder="1" applyAlignment="1" applyProtection="1">
      <alignment horizontal="center" vertical="center"/>
      <protection hidden="1"/>
    </xf>
    <xf numFmtId="0" fontId="30" fillId="0" borderId="15" xfId="64" applyFont="1" applyBorder="1" applyAlignment="1" applyProtection="1">
      <alignment horizontal="center" vertical="center"/>
      <protection hidden="1"/>
    </xf>
    <xf numFmtId="0" fontId="30" fillId="0" borderId="214" xfId="64" applyFont="1" applyBorder="1" applyAlignment="1" applyProtection="1">
      <alignment horizontal="center" vertical="center"/>
      <protection hidden="1"/>
    </xf>
    <xf numFmtId="0" fontId="30" fillId="0" borderId="53" xfId="64" applyFont="1" applyBorder="1" applyAlignment="1" applyProtection="1">
      <alignment horizontal="center" vertical="center"/>
      <protection hidden="1"/>
    </xf>
    <xf numFmtId="0" fontId="30" fillId="0" borderId="56" xfId="64" applyFont="1" applyBorder="1" applyAlignment="1" applyProtection="1">
      <alignment horizontal="center" vertical="center"/>
      <protection hidden="1"/>
    </xf>
    <xf numFmtId="0" fontId="30" fillId="0" borderId="57" xfId="64" applyFont="1" applyFill="1" applyBorder="1" applyAlignment="1" applyProtection="1">
      <alignment horizontal="center" vertical="center"/>
      <protection hidden="1"/>
    </xf>
    <xf numFmtId="186" fontId="80" fillId="0" borderId="57" xfId="64" applyNumberFormat="1" applyFont="1" applyBorder="1" applyAlignment="1" applyProtection="1">
      <alignment horizontal="center" vertical="center"/>
      <protection locked="0"/>
    </xf>
    <xf numFmtId="179" fontId="30" fillId="0" borderId="57" xfId="64" applyNumberFormat="1" applyFont="1" applyBorder="1" applyAlignment="1" applyProtection="1">
      <alignment horizontal="center" vertical="center"/>
      <protection hidden="1"/>
    </xf>
    <xf numFmtId="179" fontId="81" fillId="0" borderId="57" xfId="64" applyNumberFormat="1" applyFont="1" applyBorder="1" applyAlignment="1" applyProtection="1">
      <alignment horizontal="center" vertical="center"/>
      <protection locked="0"/>
    </xf>
    <xf numFmtId="178" fontId="31" fillId="0" borderId="57" xfId="64" applyNumberFormat="1" applyFont="1" applyBorder="1" applyAlignment="1" applyProtection="1">
      <alignment horizontal="center" vertical="center"/>
      <protection locked="0"/>
    </xf>
    <xf numFmtId="191" fontId="81" fillId="0" borderId="57" xfId="64" applyNumberFormat="1" applyFont="1" applyBorder="1" applyAlignment="1" applyProtection="1">
      <alignment horizontal="center" vertical="center"/>
      <protection locked="0"/>
    </xf>
    <xf numFmtId="179" fontId="30" fillId="0" borderId="230" xfId="64" applyNumberFormat="1" applyFont="1" applyBorder="1" applyAlignment="1" applyProtection="1">
      <alignment horizontal="center" vertical="center"/>
      <protection hidden="1"/>
    </xf>
    <xf numFmtId="2" fontId="30" fillId="0" borderId="231" xfId="64" applyNumberFormat="1" applyFont="1" applyBorder="1" applyAlignment="1" applyProtection="1">
      <alignment horizontal="center" vertical="center"/>
      <protection hidden="1"/>
    </xf>
    <xf numFmtId="179" fontId="30" fillId="0" borderId="231" xfId="64" applyNumberFormat="1" applyFont="1" applyBorder="1" applyAlignment="1" applyProtection="1">
      <alignment horizontal="center" vertical="center"/>
      <protection hidden="1"/>
    </xf>
    <xf numFmtId="2" fontId="32" fillId="40" borderId="232" xfId="64" applyNumberFormat="1" applyFont="1" applyFill="1" applyBorder="1" applyAlignment="1" applyProtection="1">
      <alignment horizontal="center" vertical="center"/>
      <protection hidden="1"/>
    </xf>
    <xf numFmtId="2" fontId="82" fillId="40" borderId="231" xfId="64" applyNumberFormat="1" applyFont="1" applyFill="1" applyBorder="1" applyAlignment="1" applyProtection="1">
      <alignment horizontal="center" vertical="center"/>
      <protection locked="0"/>
    </xf>
    <xf numFmtId="2" fontId="33" fillId="0" borderId="233" xfId="64" applyNumberFormat="1" applyFont="1" applyBorder="1" applyAlignment="1" applyProtection="1">
      <alignment horizontal="center" vertical="center"/>
      <protection locked="0"/>
    </xf>
    <xf numFmtId="0" fontId="25" fillId="0" borderId="12" xfId="64" applyFont="1" applyBorder="1">
      <alignment/>
      <protection/>
    </xf>
    <xf numFmtId="0" fontId="24" fillId="0" borderId="0" xfId="64" applyFont="1" applyBorder="1">
      <alignment/>
      <protection/>
    </xf>
    <xf numFmtId="188" fontId="24" fillId="0" borderId="0" xfId="64" applyNumberFormat="1" applyFont="1" applyBorder="1">
      <alignment/>
      <protection/>
    </xf>
    <xf numFmtId="186" fontId="24" fillId="0" borderId="0" xfId="64" applyNumberFormat="1" applyFont="1" applyBorder="1">
      <alignment/>
      <protection/>
    </xf>
    <xf numFmtId="187" fontId="24" fillId="0" borderId="0" xfId="64" applyNumberFormat="1" applyFont="1" applyBorder="1">
      <alignment/>
      <protection/>
    </xf>
    <xf numFmtId="0" fontId="24" fillId="0" borderId="0" xfId="64" applyFont="1" applyBorder="1" applyAlignment="1">
      <alignment horizontal="center"/>
      <protection/>
    </xf>
    <xf numFmtId="0" fontId="24" fillId="0" borderId="26" xfId="64" applyFont="1" applyBorder="1">
      <alignment/>
      <protection/>
    </xf>
    <xf numFmtId="0" fontId="0" fillId="0" borderId="0" xfId="64" applyFont="1">
      <alignment/>
      <protection/>
    </xf>
    <xf numFmtId="0" fontId="25" fillId="0" borderId="12" xfId="64" applyFont="1" applyBorder="1" applyAlignment="1">
      <alignment horizontal="left"/>
      <protection/>
    </xf>
    <xf numFmtId="0" fontId="25" fillId="0" borderId="0" xfId="64" applyFont="1" applyBorder="1" applyAlignment="1">
      <alignment horizontal="left"/>
      <protection/>
    </xf>
    <xf numFmtId="0" fontId="24" fillId="0" borderId="26" xfId="64" applyFont="1" applyBorder="1" applyAlignment="1">
      <alignment horizontal="left"/>
      <protection/>
    </xf>
    <xf numFmtId="0" fontId="0" fillId="0" borderId="0" xfId="64" applyFont="1" applyBorder="1">
      <alignment/>
      <protection/>
    </xf>
    <xf numFmtId="186" fontId="0" fillId="0" borderId="0" xfId="64" applyNumberFormat="1" applyFont="1" applyBorder="1" applyAlignment="1">
      <alignment horizontal="left"/>
      <protection/>
    </xf>
    <xf numFmtId="186" fontId="0" fillId="0" borderId="0" xfId="64" applyNumberFormat="1" applyFont="1" applyBorder="1">
      <alignment/>
      <protection/>
    </xf>
    <xf numFmtId="187" fontId="0" fillId="0" borderId="0" xfId="64" applyNumberFormat="1" applyFont="1" applyBorder="1">
      <alignment/>
      <protection/>
    </xf>
    <xf numFmtId="0" fontId="0" fillId="0" borderId="26" xfId="64" applyFont="1" applyBorder="1">
      <alignment/>
      <protection/>
    </xf>
    <xf numFmtId="0" fontId="25" fillId="0" borderId="0" xfId="64" applyFont="1" applyBorder="1" applyAlignment="1" quotePrefix="1">
      <alignment horizontal="left"/>
      <protection/>
    </xf>
    <xf numFmtId="0" fontId="24" fillId="0" borderId="0" xfId="64" applyFont="1" applyBorder="1" applyAlignment="1">
      <alignment horizontal="left"/>
      <protection/>
    </xf>
    <xf numFmtId="0" fontId="25" fillId="0" borderId="0" xfId="64" applyFont="1" applyBorder="1">
      <alignment/>
      <protection/>
    </xf>
    <xf numFmtId="0" fontId="0" fillId="0" borderId="12" xfId="64" applyFont="1" applyBorder="1">
      <alignment/>
      <protection/>
    </xf>
    <xf numFmtId="0" fontId="25" fillId="0" borderId="0" xfId="64" applyFont="1" applyBorder="1" quotePrefix="1">
      <alignment/>
      <protection/>
    </xf>
    <xf numFmtId="188" fontId="0" fillId="0" borderId="0" xfId="64" applyNumberFormat="1" applyFont="1" applyBorder="1">
      <alignment/>
      <protection/>
    </xf>
    <xf numFmtId="186" fontId="0" fillId="0" borderId="0" xfId="64" applyNumberFormat="1" applyFont="1" applyBorder="1">
      <alignment/>
      <protection/>
    </xf>
    <xf numFmtId="0" fontId="0" fillId="0" borderId="32" xfId="64" applyFont="1" applyBorder="1">
      <alignment/>
      <protection/>
    </xf>
    <xf numFmtId="0" fontId="0" fillId="0" borderId="28" xfId="64" applyFont="1" applyBorder="1">
      <alignment/>
      <protection/>
    </xf>
    <xf numFmtId="188" fontId="0" fillId="0" borderId="28" xfId="64" applyNumberFormat="1" applyFont="1" applyBorder="1">
      <alignment/>
      <protection/>
    </xf>
    <xf numFmtId="186" fontId="0" fillId="0" borderId="28" xfId="64" applyNumberFormat="1" applyFont="1" applyBorder="1">
      <alignment/>
      <protection/>
    </xf>
    <xf numFmtId="186" fontId="0" fillId="0" borderId="28" xfId="64" applyNumberFormat="1" applyFont="1" applyBorder="1">
      <alignment/>
      <protection/>
    </xf>
    <xf numFmtId="187" fontId="0" fillId="0" borderId="28" xfId="64" applyNumberFormat="1" applyFont="1" applyBorder="1">
      <alignment/>
      <protection/>
    </xf>
    <xf numFmtId="0" fontId="0" fillId="0" borderId="31" xfId="64" applyFont="1" applyBorder="1">
      <alignment/>
      <protection/>
    </xf>
    <xf numFmtId="188" fontId="0" fillId="0" borderId="0" xfId="64" applyNumberFormat="1" applyFont="1">
      <alignment/>
      <protection/>
    </xf>
    <xf numFmtId="186" fontId="0" fillId="0" borderId="0" xfId="64" applyNumberFormat="1" applyFont="1">
      <alignment/>
      <protection/>
    </xf>
    <xf numFmtId="186" fontId="0" fillId="0" borderId="0" xfId="64" applyNumberFormat="1" applyFont="1">
      <alignment/>
      <protection/>
    </xf>
    <xf numFmtId="187" fontId="0" fillId="0" borderId="0" xfId="64" applyNumberFormat="1" applyFont="1">
      <alignment/>
      <protection/>
    </xf>
    <xf numFmtId="0" fontId="24" fillId="0" borderId="0" xfId="65" applyFont="1">
      <alignment/>
      <protection/>
    </xf>
    <xf numFmtId="0" fontId="26" fillId="0" borderId="0" xfId="65" applyFont="1" applyBorder="1" applyAlignment="1">
      <alignment horizontal="center"/>
      <protection/>
    </xf>
    <xf numFmtId="0" fontId="27" fillId="0" borderId="0" xfId="65" applyFont="1" applyAlignment="1">
      <alignment horizontal="center"/>
      <protection/>
    </xf>
    <xf numFmtId="187" fontId="24" fillId="0" borderId="0" xfId="65" applyNumberFormat="1" applyFont="1">
      <alignment/>
      <protection/>
    </xf>
    <xf numFmtId="186" fontId="24" fillId="0" borderId="0" xfId="65" applyNumberFormat="1" applyFont="1">
      <alignment/>
      <protection/>
    </xf>
    <xf numFmtId="188" fontId="24" fillId="0" borderId="204" xfId="65" applyNumberFormat="1" applyFont="1" applyBorder="1" applyAlignment="1">
      <alignment horizontal="center"/>
      <protection/>
    </xf>
    <xf numFmtId="0" fontId="24" fillId="0" borderId="204" xfId="65" applyFont="1" applyBorder="1" applyAlignment="1">
      <alignment horizontal="center"/>
      <protection/>
    </xf>
    <xf numFmtId="186" fontId="24" fillId="0" borderId="204" xfId="65" applyNumberFormat="1" applyFont="1" applyBorder="1" applyAlignment="1">
      <alignment horizontal="center" shrinkToFit="1"/>
      <protection/>
    </xf>
    <xf numFmtId="0" fontId="24" fillId="0" borderId="0" xfId="65" applyFont="1" applyBorder="1">
      <alignment/>
      <protection/>
    </xf>
    <xf numFmtId="188" fontId="24" fillId="0" borderId="33" xfId="65" applyNumberFormat="1" applyFont="1" applyBorder="1" applyAlignment="1">
      <alignment horizontal="center"/>
      <protection/>
    </xf>
    <xf numFmtId="0" fontId="24" fillId="0" borderId="33" xfId="65" applyFont="1" applyBorder="1" applyAlignment="1">
      <alignment horizontal="center"/>
      <protection/>
    </xf>
    <xf numFmtId="186" fontId="24" fillId="0" borderId="33" xfId="65" applyNumberFormat="1" applyFont="1" applyBorder="1" applyAlignment="1">
      <alignment horizontal="center"/>
      <protection/>
    </xf>
    <xf numFmtId="0" fontId="24" fillId="0" borderId="33" xfId="65" applyFont="1" applyBorder="1" applyAlignment="1">
      <alignment horizontal="center" shrinkToFit="1"/>
      <protection/>
    </xf>
    <xf numFmtId="0" fontId="81" fillId="0" borderId="53" xfId="65" applyFont="1" applyFill="1" applyBorder="1" applyAlignment="1" applyProtection="1">
      <alignment horizontal="center" vertical="center"/>
      <protection locked="0"/>
    </xf>
    <xf numFmtId="0" fontId="81" fillId="0" borderId="54" xfId="65" applyFont="1" applyFill="1" applyBorder="1" applyAlignment="1" applyProtection="1">
      <alignment horizontal="center" vertical="center"/>
      <protection locked="0"/>
    </xf>
    <xf numFmtId="192" fontId="81" fillId="0" borderId="68" xfId="50" applyNumberFormat="1" applyFont="1" applyFill="1" applyBorder="1" applyAlignment="1" applyProtection="1">
      <alignment horizontal="center" vertical="center"/>
      <protection locked="0"/>
    </xf>
    <xf numFmtId="0" fontId="31" fillId="0" borderId="54" xfId="65" applyFont="1" applyBorder="1" applyAlignment="1" applyProtection="1">
      <alignment horizontal="center" vertical="center"/>
      <protection locked="0"/>
    </xf>
    <xf numFmtId="181" fontId="81" fillId="0" borderId="54" xfId="65" applyNumberFormat="1" applyFont="1" applyBorder="1" applyAlignment="1" applyProtection="1">
      <alignment horizontal="center" vertical="center"/>
      <protection locked="0"/>
    </xf>
    <xf numFmtId="189" fontId="81" fillId="0" borderId="54" xfId="65" applyNumberFormat="1" applyFont="1" applyBorder="1" applyAlignment="1" applyProtection="1">
      <alignment horizontal="center" vertical="center"/>
      <protection locked="0"/>
    </xf>
    <xf numFmtId="181" fontId="30" fillId="0" borderId="54" xfId="65" applyNumberFormat="1" applyFont="1" applyBorder="1" applyAlignment="1" applyProtection="1">
      <alignment horizontal="center" vertical="center"/>
      <protection hidden="1"/>
    </xf>
    <xf numFmtId="0" fontId="24" fillId="0" borderId="54" xfId="65" applyFont="1" applyBorder="1" applyAlignment="1" applyProtection="1">
      <alignment horizontal="center" vertical="center"/>
      <protection hidden="1"/>
    </xf>
    <xf numFmtId="0" fontId="5" fillId="0" borderId="54" xfId="65" applyFont="1" applyBorder="1" applyAlignment="1" applyProtection="1">
      <alignment horizontal="center" vertical="center"/>
      <protection hidden="1"/>
    </xf>
    <xf numFmtId="0" fontId="24" fillId="0" borderId="51" xfId="65" applyFont="1" applyBorder="1" applyAlignment="1" applyProtection="1">
      <alignment horizontal="center" vertical="center"/>
      <protection hidden="1"/>
    </xf>
    <xf numFmtId="186" fontId="30" fillId="0" borderId="234" xfId="65" applyNumberFormat="1" applyFont="1" applyBorder="1" applyAlignment="1" applyProtection="1">
      <alignment vertical="center"/>
      <protection hidden="1"/>
    </xf>
    <xf numFmtId="186" fontId="83" fillId="0" borderId="235" xfId="65" applyNumberFormat="1" applyFont="1" applyBorder="1" applyAlignment="1">
      <alignment vertical="center"/>
      <protection/>
    </xf>
    <xf numFmtId="186" fontId="24" fillId="0" borderId="0" xfId="65" applyNumberFormat="1" applyFont="1" applyBorder="1" applyAlignment="1">
      <alignment horizontal="right"/>
      <protection/>
    </xf>
    <xf numFmtId="186" fontId="24" fillId="0" borderId="0" xfId="65" applyNumberFormat="1" applyFont="1" applyBorder="1" applyAlignment="1">
      <alignment/>
      <protection/>
    </xf>
    <xf numFmtId="181" fontId="81" fillId="0" borderId="49" xfId="65" applyNumberFormat="1" applyFont="1" applyBorder="1" applyAlignment="1" applyProtection="1">
      <alignment horizontal="center" vertical="center"/>
      <protection locked="0"/>
    </xf>
    <xf numFmtId="189" fontId="81" fillId="0" borderId="49" xfId="65" applyNumberFormat="1" applyFont="1" applyBorder="1" applyAlignment="1" applyProtection="1">
      <alignment horizontal="center" vertical="center"/>
      <protection locked="0"/>
    </xf>
    <xf numFmtId="0" fontId="24" fillId="0" borderId="49" xfId="65" applyFont="1" applyBorder="1" applyAlignment="1" applyProtection="1">
      <alignment horizontal="center" vertical="center"/>
      <protection hidden="1"/>
    </xf>
    <xf numFmtId="186" fontId="30" fillId="0" borderId="68" xfId="65" applyNumberFormat="1" applyFont="1" applyBorder="1" applyAlignment="1" applyProtection="1">
      <alignment vertical="center"/>
      <protection hidden="1"/>
    </xf>
    <xf numFmtId="186" fontId="83" fillId="0" borderId="67" xfId="65" applyNumberFormat="1" applyFont="1" applyBorder="1" applyAlignment="1">
      <alignment vertical="center"/>
      <protection/>
    </xf>
    <xf numFmtId="0" fontId="24" fillId="0" borderId="204" xfId="65" applyFont="1" applyBorder="1" applyAlignment="1" applyProtection="1">
      <alignment horizontal="center" vertical="center"/>
      <protection hidden="1"/>
    </xf>
    <xf numFmtId="192" fontId="81" fillId="0" borderId="20" xfId="50" applyNumberFormat="1" applyFont="1" applyBorder="1" applyAlignment="1" applyProtection="1">
      <alignment horizontal="center" vertical="center"/>
      <protection locked="0"/>
    </xf>
    <xf numFmtId="0" fontId="24" fillId="0" borderId="54" xfId="65" applyFont="1" applyBorder="1" applyProtection="1">
      <alignment/>
      <protection hidden="1"/>
    </xf>
    <xf numFmtId="0" fontId="24" fillId="0" borderId="49" xfId="65" applyFont="1" applyBorder="1" applyProtection="1">
      <alignment/>
      <protection hidden="1"/>
    </xf>
    <xf numFmtId="0" fontId="24" fillId="0" borderId="204" xfId="65" applyFont="1" applyBorder="1" applyProtection="1">
      <alignment/>
      <protection hidden="1"/>
    </xf>
    <xf numFmtId="192" fontId="81" fillId="0" borderId="49" xfId="50" applyNumberFormat="1" applyFont="1" applyBorder="1" applyAlignment="1" applyProtection="1">
      <alignment horizontal="center" vertical="center"/>
      <protection locked="0"/>
    </xf>
    <xf numFmtId="0" fontId="24" fillId="0" borderId="204" xfId="65" applyFont="1" applyBorder="1" applyAlignment="1" applyProtection="1">
      <alignment vertical="center"/>
      <protection hidden="1"/>
    </xf>
    <xf numFmtId="0" fontId="84" fillId="0" borderId="67" xfId="65" applyFont="1" applyBorder="1" applyAlignment="1">
      <alignment vertical="center"/>
      <protection/>
    </xf>
    <xf numFmtId="0" fontId="0" fillId="0" borderId="0" xfId="65" applyFont="1">
      <alignment/>
      <protection/>
    </xf>
    <xf numFmtId="0" fontId="81" fillId="0" borderId="56" xfId="65" applyFont="1" applyBorder="1" applyAlignment="1" applyProtection="1">
      <alignment horizontal="center" vertical="center"/>
      <protection locked="0"/>
    </xf>
    <xf numFmtId="0" fontId="81" fillId="0" borderId="57" xfId="65" applyFont="1" applyBorder="1" applyAlignment="1" applyProtection="1">
      <alignment horizontal="center" vertical="center"/>
      <protection locked="0"/>
    </xf>
    <xf numFmtId="192" fontId="81" fillId="0" borderId="57" xfId="50" applyNumberFormat="1" applyFont="1" applyBorder="1" applyAlignment="1" applyProtection="1">
      <alignment horizontal="center" vertical="center"/>
      <protection locked="0"/>
    </xf>
    <xf numFmtId="0" fontId="31" fillId="0" borderId="57" xfId="65" applyFont="1" applyBorder="1" applyAlignment="1" applyProtection="1">
      <alignment horizontal="center" vertical="center"/>
      <protection locked="0"/>
    </xf>
    <xf numFmtId="186" fontId="81" fillId="0" borderId="57" xfId="65" applyNumberFormat="1" applyFont="1" applyBorder="1" applyAlignment="1" applyProtection="1">
      <alignment horizontal="center" vertical="center"/>
      <protection locked="0"/>
    </xf>
    <xf numFmtId="181" fontId="30" fillId="0" borderId="57" xfId="65" applyNumberFormat="1" applyFont="1" applyBorder="1" applyAlignment="1" applyProtection="1">
      <alignment horizontal="center" vertical="center"/>
      <protection hidden="1"/>
    </xf>
    <xf numFmtId="0" fontId="30" fillId="0" borderId="57" xfId="65" applyFont="1" applyBorder="1" applyProtection="1">
      <alignment/>
      <protection hidden="1"/>
    </xf>
    <xf numFmtId="0" fontId="5" fillId="0" borderId="57" xfId="65" applyFont="1" applyBorder="1" applyAlignment="1" applyProtection="1">
      <alignment horizontal="center" vertical="center"/>
      <protection hidden="1"/>
    </xf>
    <xf numFmtId="186" fontId="30" fillId="0" borderId="236" xfId="65" applyNumberFormat="1" applyFont="1" applyBorder="1" applyAlignment="1" applyProtection="1">
      <alignment vertical="center"/>
      <protection hidden="1"/>
    </xf>
    <xf numFmtId="0" fontId="83" fillId="0" borderId="237" xfId="65" applyFont="1" applyBorder="1" applyAlignment="1">
      <alignment vertical="center"/>
      <protection/>
    </xf>
    <xf numFmtId="186" fontId="30" fillId="0" borderId="236" xfId="65" applyNumberFormat="1" applyFont="1" applyBorder="1" applyAlignment="1">
      <alignment vertical="center"/>
      <protection/>
    </xf>
    <xf numFmtId="0" fontId="25" fillId="0" borderId="12" xfId="65" applyFont="1" applyBorder="1">
      <alignment/>
      <protection/>
    </xf>
    <xf numFmtId="188" fontId="24" fillId="0" borderId="0" xfId="65" applyNumberFormat="1" applyFont="1" applyBorder="1">
      <alignment/>
      <protection/>
    </xf>
    <xf numFmtId="186" fontId="24" fillId="0" borderId="0" xfId="65" applyNumberFormat="1" applyFont="1" applyBorder="1">
      <alignment/>
      <protection/>
    </xf>
    <xf numFmtId="187" fontId="24" fillId="0" borderId="0" xfId="65" applyNumberFormat="1" applyFont="1" applyBorder="1">
      <alignment/>
      <protection/>
    </xf>
    <xf numFmtId="0" fontId="24" fillId="0" borderId="26" xfId="65" applyFont="1" applyBorder="1">
      <alignment/>
      <protection/>
    </xf>
    <xf numFmtId="0" fontId="25" fillId="0" borderId="12" xfId="65" applyFont="1" applyBorder="1" applyAlignment="1">
      <alignment horizontal="left"/>
      <protection/>
    </xf>
    <xf numFmtId="0" fontId="25" fillId="0" borderId="0" xfId="65" applyFont="1" applyBorder="1" applyAlignment="1">
      <alignment horizontal="left"/>
      <protection/>
    </xf>
    <xf numFmtId="0" fontId="3" fillId="0" borderId="0" xfId="65" applyFont="1" applyBorder="1">
      <alignment/>
      <protection/>
    </xf>
    <xf numFmtId="0" fontId="0" fillId="0" borderId="0" xfId="65" applyFont="1" applyBorder="1">
      <alignment/>
      <protection/>
    </xf>
    <xf numFmtId="0" fontId="0" fillId="0" borderId="0" xfId="65" applyBorder="1">
      <alignment/>
      <protection/>
    </xf>
    <xf numFmtId="0" fontId="0" fillId="0" borderId="26" xfId="65" applyFont="1" applyBorder="1">
      <alignment/>
      <protection/>
    </xf>
    <xf numFmtId="0" fontId="25" fillId="0" borderId="12" xfId="65" applyFont="1" applyBorder="1" applyAlignment="1" quotePrefix="1">
      <alignment horizontal="left"/>
      <protection/>
    </xf>
    <xf numFmtId="188" fontId="0" fillId="0" borderId="0" xfId="65" applyNumberFormat="1" applyFont="1">
      <alignment/>
      <protection/>
    </xf>
    <xf numFmtId="186" fontId="0" fillId="0" borderId="0" xfId="65" applyNumberFormat="1" applyFont="1">
      <alignment/>
      <protection/>
    </xf>
    <xf numFmtId="186" fontId="0" fillId="0" borderId="0" xfId="65" applyNumberFormat="1" applyFont="1" applyBorder="1">
      <alignment/>
      <protection/>
    </xf>
    <xf numFmtId="187" fontId="0" fillId="0" borderId="0" xfId="65" applyNumberFormat="1" applyFont="1" applyBorder="1">
      <alignment/>
      <protection/>
    </xf>
    <xf numFmtId="0" fontId="25" fillId="0" borderId="0" xfId="65" applyFont="1" applyBorder="1" applyAlignment="1" quotePrefix="1">
      <alignment horizontal="left"/>
      <protection/>
    </xf>
    <xf numFmtId="0" fontId="24" fillId="0" borderId="0" xfId="65" applyFont="1" applyBorder="1" applyAlignment="1">
      <alignment horizontal="right"/>
      <protection/>
    </xf>
    <xf numFmtId="0" fontId="25" fillId="0" borderId="0" xfId="65" applyFont="1" applyBorder="1">
      <alignment/>
      <protection/>
    </xf>
    <xf numFmtId="0" fontId="25" fillId="0" borderId="0" xfId="65" applyFont="1" applyBorder="1" applyAlignment="1">
      <alignment horizontal="right"/>
      <protection/>
    </xf>
    <xf numFmtId="0" fontId="0" fillId="0" borderId="12" xfId="65" applyFont="1" applyBorder="1">
      <alignment/>
      <protection/>
    </xf>
    <xf numFmtId="188" fontId="0" fillId="0" borderId="0" xfId="65" applyNumberFormat="1" applyFont="1" applyBorder="1">
      <alignment/>
      <protection/>
    </xf>
    <xf numFmtId="0" fontId="0" fillId="0" borderId="32" xfId="65" applyFont="1" applyBorder="1">
      <alignment/>
      <protection/>
    </xf>
    <xf numFmtId="0" fontId="0" fillId="0" borderId="28" xfId="65" applyFont="1" applyBorder="1">
      <alignment/>
      <protection/>
    </xf>
    <xf numFmtId="188" fontId="0" fillId="0" borderId="28" xfId="65" applyNumberFormat="1" applyFont="1" applyBorder="1">
      <alignment/>
      <protection/>
    </xf>
    <xf numFmtId="186" fontId="0" fillId="0" borderId="28" xfId="65" applyNumberFormat="1" applyFont="1" applyBorder="1">
      <alignment/>
      <protection/>
    </xf>
    <xf numFmtId="187" fontId="0" fillId="0" borderId="28" xfId="65" applyNumberFormat="1" applyFont="1" applyBorder="1">
      <alignment/>
      <protection/>
    </xf>
    <xf numFmtId="0" fontId="0" fillId="0" borderId="31" xfId="65" applyFont="1" applyBorder="1">
      <alignment/>
      <protection/>
    </xf>
    <xf numFmtId="187" fontId="0" fillId="0" borderId="0" xfId="65" applyNumberFormat="1" applyFont="1">
      <alignment/>
      <protection/>
    </xf>
    <xf numFmtId="0" fontId="19" fillId="0" borderId="11" xfId="61" applyFont="1" applyBorder="1" applyAlignment="1">
      <alignment horizontal="center" vertical="center"/>
      <protection/>
    </xf>
    <xf numFmtId="0" fontId="21" fillId="0" borderId="11" xfId="61" applyFont="1" applyBorder="1" applyAlignment="1">
      <alignment horizontal="center" vertical="center"/>
      <protection/>
    </xf>
    <xf numFmtId="0" fontId="21" fillId="0" borderId="0" xfId="61" applyFont="1" applyBorder="1" applyAlignment="1">
      <alignment horizontal="center" vertical="center"/>
      <protection/>
    </xf>
    <xf numFmtId="0" fontId="22" fillId="0" borderId="0" xfId="61" applyFont="1" applyBorder="1" applyAlignment="1">
      <alignment horizontal="center"/>
      <protection/>
    </xf>
    <xf numFmtId="0" fontId="18" fillId="0" borderId="215" xfId="61" applyBorder="1" applyAlignment="1">
      <alignment horizontal="center" vertical="center"/>
      <protection/>
    </xf>
    <xf numFmtId="0" fontId="22" fillId="0" borderId="238" xfId="61" applyFont="1" applyBorder="1" applyAlignment="1">
      <alignment horizontal="center" vertical="center" shrinkToFit="1"/>
      <protection/>
    </xf>
    <xf numFmtId="0" fontId="22" fillId="0" borderId="239" xfId="61" applyFont="1" applyBorder="1" applyAlignment="1">
      <alignment horizontal="center" vertical="center" shrinkToFit="1"/>
      <protection/>
    </xf>
    <xf numFmtId="0" fontId="22" fillId="0" borderId="240" xfId="61" applyFont="1" applyBorder="1" applyAlignment="1">
      <alignment horizontal="center" vertical="center" shrinkToFit="1"/>
      <protection/>
    </xf>
    <xf numFmtId="0" fontId="22" fillId="0" borderId="28" xfId="61" applyFont="1" applyBorder="1" applyAlignment="1">
      <alignment horizontal="center" vertical="center"/>
      <protection/>
    </xf>
    <xf numFmtId="176" fontId="4" fillId="33" borderId="21" xfId="0" applyNumberFormat="1" applyFont="1" applyFill="1" applyBorder="1" applyAlignment="1">
      <alignment horizontal="center" shrinkToFit="1"/>
    </xf>
    <xf numFmtId="176" fontId="4" fillId="33" borderId="202" xfId="0" applyNumberFormat="1" applyFont="1" applyFill="1" applyBorder="1" applyAlignment="1">
      <alignment horizontal="center" shrinkToFit="1"/>
    </xf>
    <xf numFmtId="176" fontId="4" fillId="0" borderId="21" xfId="0" applyNumberFormat="1" applyFont="1" applyFill="1" applyBorder="1" applyAlignment="1">
      <alignment horizontal="center"/>
    </xf>
    <xf numFmtId="176" fontId="4" fillId="0" borderId="202" xfId="0" applyNumberFormat="1" applyFont="1" applyFill="1" applyBorder="1" applyAlignment="1">
      <alignment horizontal="center"/>
    </xf>
    <xf numFmtId="0" fontId="4" fillId="6" borderId="241" xfId="0" applyNumberFormat="1" applyFont="1" applyFill="1" applyBorder="1" applyAlignment="1">
      <alignment horizontal="center" shrinkToFit="1"/>
    </xf>
    <xf numFmtId="0" fontId="4" fillId="6" borderId="208" xfId="0" applyNumberFormat="1" applyFont="1" applyFill="1" applyBorder="1" applyAlignment="1">
      <alignment horizontal="center" shrinkToFit="1"/>
    </xf>
    <xf numFmtId="0" fontId="4" fillId="6" borderId="207" xfId="0" applyNumberFormat="1" applyFont="1" applyFill="1" applyBorder="1" applyAlignment="1">
      <alignment horizontal="center" shrinkToFit="1"/>
    </xf>
    <xf numFmtId="0" fontId="4" fillId="33" borderId="205" xfId="0" applyNumberFormat="1" applyFont="1" applyFill="1" applyBorder="1" applyAlignment="1">
      <alignment horizontal="center"/>
    </xf>
    <xf numFmtId="0" fontId="0" fillId="0" borderId="242" xfId="0" applyNumberFormat="1" applyBorder="1" applyAlignment="1">
      <alignment horizontal="center"/>
    </xf>
    <xf numFmtId="0" fontId="4" fillId="0" borderId="241" xfId="0" applyFont="1" applyFill="1" applyBorder="1" applyAlignment="1">
      <alignment horizontal="center"/>
    </xf>
    <xf numFmtId="0" fontId="4" fillId="0" borderId="208" xfId="0" applyFont="1" applyFill="1" applyBorder="1" applyAlignment="1">
      <alignment horizontal="center"/>
    </xf>
    <xf numFmtId="0" fontId="4" fillId="0" borderId="207" xfId="0" applyFont="1" applyFill="1" applyBorder="1" applyAlignment="1">
      <alignment horizontal="center"/>
    </xf>
    <xf numFmtId="0" fontId="4" fillId="0" borderId="205" xfId="0" applyNumberFormat="1" applyFont="1" applyFill="1" applyBorder="1" applyAlignment="1">
      <alignment horizontal="center"/>
    </xf>
    <xf numFmtId="0" fontId="4" fillId="0" borderId="242" xfId="0" applyNumberFormat="1" applyFont="1" applyFill="1" applyBorder="1" applyAlignment="1">
      <alignment horizontal="center"/>
    </xf>
    <xf numFmtId="0" fontId="4" fillId="0" borderId="61" xfId="0" applyNumberFormat="1" applyFont="1" applyFill="1" applyBorder="1" applyAlignment="1">
      <alignment horizontal="center"/>
    </xf>
    <xf numFmtId="0" fontId="4" fillId="0" borderId="62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 horizontal="left" shrinkToFit="1"/>
    </xf>
    <xf numFmtId="0" fontId="4" fillId="0" borderId="38" xfId="0" applyFont="1" applyFill="1" applyBorder="1" applyAlignment="1">
      <alignment horizontal="left" shrinkToFit="1"/>
    </xf>
    <xf numFmtId="0" fontId="4" fillId="0" borderId="202" xfId="0" applyFont="1" applyFill="1" applyBorder="1" applyAlignment="1">
      <alignment horizontal="left" shrinkToFit="1"/>
    </xf>
    <xf numFmtId="49" fontId="4" fillId="33" borderId="241" xfId="0" applyNumberFormat="1" applyFont="1" applyFill="1" applyBorder="1" applyAlignment="1">
      <alignment horizontal="center" shrinkToFit="1"/>
    </xf>
    <xf numFmtId="49" fontId="4" fillId="33" borderId="208" xfId="0" applyNumberFormat="1" applyFont="1" applyFill="1" applyBorder="1" applyAlignment="1">
      <alignment horizontal="center" shrinkToFit="1"/>
    </xf>
    <xf numFmtId="49" fontId="4" fillId="33" borderId="207" xfId="0" applyNumberFormat="1" applyFont="1" applyFill="1" applyBorder="1" applyAlignment="1">
      <alignment horizontal="center" shrinkToFit="1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80" fontId="7" fillId="0" borderId="42" xfId="0" applyNumberFormat="1" applyFont="1" applyBorder="1" applyAlignment="1">
      <alignment horizontal="center"/>
    </xf>
    <xf numFmtId="180" fontId="7" fillId="0" borderId="41" xfId="0" applyNumberFormat="1" applyFont="1" applyBorder="1" applyAlignment="1">
      <alignment horizontal="center"/>
    </xf>
    <xf numFmtId="180" fontId="7" fillId="0" borderId="43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82" xfId="0" applyFont="1" applyBorder="1" applyAlignment="1">
      <alignment horizontal="center"/>
    </xf>
    <xf numFmtId="0" fontId="7" fillId="0" borderId="140" xfId="0" applyFont="1" applyBorder="1" applyAlignment="1">
      <alignment horizontal="center"/>
    </xf>
    <xf numFmtId="0" fontId="7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81" xfId="0" applyFont="1" applyBorder="1" applyAlignment="1">
      <alignment horizontal="center"/>
    </xf>
    <xf numFmtId="0" fontId="7" fillId="0" borderId="2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49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63" xfId="0" applyFont="1" applyBorder="1" applyAlignment="1">
      <alignment horizontal="center" shrinkToFit="1"/>
    </xf>
    <xf numFmtId="0" fontId="7" fillId="0" borderId="64" xfId="0" applyFont="1" applyBorder="1" applyAlignment="1">
      <alignment horizontal="center" shrinkToFit="1"/>
    </xf>
    <xf numFmtId="0" fontId="7" fillId="0" borderId="65" xfId="0" applyFont="1" applyBorder="1" applyAlignment="1">
      <alignment horizontal="center" shrinkToFit="1"/>
    </xf>
    <xf numFmtId="0" fontId="7" fillId="0" borderId="63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243" xfId="0" applyFont="1" applyBorder="1" applyAlignment="1">
      <alignment horizontal="center" vertical="top" wrapText="1"/>
    </xf>
    <xf numFmtId="0" fontId="0" fillId="0" borderId="211" xfId="0" applyBorder="1" applyAlignment="1">
      <alignment horizontal="center" vertical="top" wrapText="1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4" fillId="0" borderId="0" xfId="64" applyFont="1" applyAlignment="1">
      <alignment horizontal="center"/>
      <protection/>
    </xf>
    <xf numFmtId="0" fontId="5" fillId="0" borderId="0" xfId="64" applyFont="1" applyAlignment="1">
      <alignment horizontal="center" wrapText="1"/>
      <protection/>
    </xf>
    <xf numFmtId="0" fontId="26" fillId="0" borderId="0" xfId="64" applyFont="1" applyBorder="1" applyAlignment="1">
      <alignment horizontal="center"/>
      <protection/>
    </xf>
    <xf numFmtId="0" fontId="25" fillId="0" borderId="0" xfId="64" applyFont="1" applyAlignment="1">
      <alignment horizontal="center"/>
      <protection/>
    </xf>
    <xf numFmtId="0" fontId="27" fillId="0" borderId="0" xfId="64" applyFont="1" applyBorder="1" applyAlignment="1">
      <alignment horizontal="left" shrinkToFit="1"/>
      <protection/>
    </xf>
    <xf numFmtId="0" fontId="25" fillId="0" borderId="28" xfId="64" applyFont="1" applyBorder="1" applyAlignment="1">
      <alignment horizontal="left" shrinkToFit="1"/>
      <protection/>
    </xf>
    <xf numFmtId="0" fontId="25" fillId="0" borderId="206" xfId="64" applyFont="1" applyBorder="1" applyAlignment="1">
      <alignment horizontal="center" vertical="center" shrinkToFit="1"/>
      <protection/>
    </xf>
    <xf numFmtId="0" fontId="25" fillId="0" borderId="15" xfId="64" applyFont="1" applyBorder="1" applyAlignment="1">
      <alignment horizontal="center" vertical="center" shrinkToFit="1"/>
      <protection/>
    </xf>
    <xf numFmtId="0" fontId="25" fillId="0" borderId="35" xfId="64" applyFont="1" applyBorder="1" applyAlignment="1">
      <alignment horizontal="center" vertical="center" shrinkToFit="1"/>
      <protection/>
    </xf>
    <xf numFmtId="0" fontId="25" fillId="0" borderId="204" xfId="64" applyFont="1" applyBorder="1" applyAlignment="1">
      <alignment horizontal="center" vertical="center" shrinkToFit="1"/>
      <protection/>
    </xf>
    <xf numFmtId="0" fontId="25" fillId="0" borderId="13" xfId="64" applyFont="1" applyBorder="1" applyAlignment="1">
      <alignment horizontal="center" vertical="center" shrinkToFit="1"/>
      <protection/>
    </xf>
    <xf numFmtId="0" fontId="25" fillId="0" borderId="33" xfId="64" applyFont="1" applyBorder="1" applyAlignment="1">
      <alignment horizontal="center" vertical="center" shrinkToFit="1"/>
      <protection/>
    </xf>
    <xf numFmtId="188" fontId="25" fillId="0" borderId="204" xfId="64" applyNumberFormat="1" applyFont="1" applyBorder="1" applyAlignment="1">
      <alignment horizontal="center" vertical="center"/>
      <protection/>
    </xf>
    <xf numFmtId="188" fontId="25" fillId="0" borderId="13" xfId="64" applyNumberFormat="1" applyFont="1" applyBorder="1" applyAlignment="1">
      <alignment horizontal="center" vertical="center"/>
      <protection/>
    </xf>
    <xf numFmtId="188" fontId="25" fillId="0" borderId="33" xfId="64" applyNumberFormat="1" applyFont="1" applyBorder="1" applyAlignment="1">
      <alignment horizontal="center" vertical="center"/>
      <protection/>
    </xf>
    <xf numFmtId="0" fontId="24" fillId="0" borderId="244" xfId="64" applyFont="1" applyBorder="1" applyAlignment="1">
      <alignment horizontal="center" vertical="center"/>
      <protection/>
    </xf>
    <xf numFmtId="0" fontId="24" fillId="0" borderId="245" xfId="64" applyFont="1" applyBorder="1" applyAlignment="1">
      <alignment horizontal="center" vertical="center"/>
      <protection/>
    </xf>
    <xf numFmtId="0" fontId="24" fillId="0" borderId="246" xfId="64" applyFont="1" applyBorder="1" applyAlignment="1">
      <alignment horizontal="center" vertical="center"/>
      <protection/>
    </xf>
    <xf numFmtId="0" fontId="26" fillId="0" borderId="0" xfId="65" applyFont="1" applyBorder="1" applyAlignment="1">
      <alignment horizontal="center"/>
      <protection/>
    </xf>
    <xf numFmtId="0" fontId="25" fillId="0" borderId="0" xfId="65" applyFont="1" applyAlignment="1">
      <alignment horizontal="center"/>
      <protection/>
    </xf>
    <xf numFmtId="0" fontId="85" fillId="0" borderId="0" xfId="65" applyFont="1" applyBorder="1" applyAlignment="1" applyProtection="1">
      <alignment horizontal="left" shrinkToFit="1"/>
      <protection locked="0"/>
    </xf>
    <xf numFmtId="0" fontId="80" fillId="0" borderId="28" xfId="65" applyFont="1" applyBorder="1" applyAlignment="1" applyProtection="1">
      <alignment horizontal="left" shrinkToFit="1"/>
      <protection locked="0"/>
    </xf>
    <xf numFmtId="0" fontId="24" fillId="0" borderId="206" xfId="65" applyFont="1" applyBorder="1" applyAlignment="1">
      <alignment horizontal="center" vertical="center"/>
      <protection/>
    </xf>
    <xf numFmtId="0" fontId="0" fillId="0" borderId="35" xfId="65" applyFont="1" applyBorder="1" applyAlignment="1">
      <alignment horizontal="center" vertical="center"/>
      <protection/>
    </xf>
    <xf numFmtId="0" fontId="24" fillId="0" borderId="204" xfId="65" applyFont="1" applyBorder="1" applyAlignment="1">
      <alignment horizontal="center" vertical="center" shrinkToFit="1"/>
      <protection/>
    </xf>
    <xf numFmtId="0" fontId="0" fillId="0" borderId="33" xfId="65" applyFont="1" applyBorder="1" applyAlignment="1">
      <alignment horizontal="center" vertical="center" shrinkToFit="1"/>
      <protection/>
    </xf>
    <xf numFmtId="187" fontId="24" fillId="0" borderId="205" xfId="65" applyNumberFormat="1" applyFont="1" applyBorder="1" applyAlignment="1">
      <alignment horizontal="center" shrinkToFit="1"/>
      <protection/>
    </xf>
    <xf numFmtId="187" fontId="24" fillId="0" borderId="207" xfId="65" applyNumberFormat="1" applyFont="1" applyBorder="1" applyAlignment="1">
      <alignment horizontal="center" shrinkToFit="1"/>
      <protection/>
    </xf>
    <xf numFmtId="0" fontId="24" fillId="0" borderId="205" xfId="65" applyFont="1" applyBorder="1" applyAlignment="1">
      <alignment horizontal="center" vertical="center"/>
      <protection/>
    </xf>
    <xf numFmtId="0" fontId="24" fillId="0" borderId="208" xfId="65" applyFont="1" applyBorder="1" applyAlignment="1">
      <alignment horizontal="center" vertical="center"/>
      <protection/>
    </xf>
    <xf numFmtId="0" fontId="24" fillId="0" borderId="242" xfId="65" applyFont="1" applyBorder="1" applyAlignment="1">
      <alignment horizontal="center" vertical="center"/>
      <protection/>
    </xf>
    <xf numFmtId="0" fontId="24" fillId="0" borderId="30" xfId="65" applyFont="1" applyBorder="1" applyAlignment="1">
      <alignment horizontal="center" vertical="center"/>
      <protection/>
    </xf>
    <xf numFmtId="0" fontId="24" fillId="0" borderId="28" xfId="65" applyFont="1" applyBorder="1" applyAlignment="1">
      <alignment horizontal="center" vertical="center"/>
      <protection/>
    </xf>
    <xf numFmtId="0" fontId="24" fillId="0" borderId="31" xfId="65" applyFont="1" applyBorder="1" applyAlignment="1">
      <alignment horizontal="center" vertical="center"/>
      <protection/>
    </xf>
    <xf numFmtId="187" fontId="24" fillId="0" borderId="30" xfId="65" applyNumberFormat="1" applyFont="1" applyBorder="1" applyAlignment="1">
      <alignment horizontal="center"/>
      <protection/>
    </xf>
    <xf numFmtId="187" fontId="24" fillId="0" borderId="29" xfId="65" applyNumberFormat="1" applyFont="1" applyBorder="1" applyAlignment="1">
      <alignment horizontal="center"/>
      <protection/>
    </xf>
    <xf numFmtId="181" fontId="25" fillId="0" borderId="68" xfId="65" applyNumberFormat="1" applyFont="1" applyBorder="1" applyAlignment="1" applyProtection="1">
      <alignment horizontal="left" shrinkToFit="1"/>
      <protection locked="0"/>
    </xf>
    <xf numFmtId="181" fontId="25" fillId="0" borderId="69" xfId="65" applyNumberFormat="1" applyFont="1" applyBorder="1" applyAlignment="1" applyProtection="1">
      <alignment horizontal="left" shrinkToFit="1"/>
      <protection locked="0"/>
    </xf>
    <xf numFmtId="181" fontId="25" fillId="0" borderId="70" xfId="65" applyNumberFormat="1" applyFont="1" applyBorder="1" applyAlignment="1" applyProtection="1">
      <alignment horizontal="left" shrinkToFit="1"/>
      <protection locked="0"/>
    </xf>
    <xf numFmtId="181" fontId="25" fillId="0" borderId="236" xfId="65" applyNumberFormat="1" applyFont="1" applyBorder="1" applyAlignment="1" applyProtection="1">
      <alignment horizontal="left" shrinkToFit="1"/>
      <protection locked="0"/>
    </xf>
    <xf numFmtId="181" fontId="25" fillId="0" borderId="232" xfId="65" applyNumberFormat="1" applyFont="1" applyBorder="1" applyAlignment="1" applyProtection="1">
      <alignment horizontal="left" shrinkToFit="1"/>
      <protection locked="0"/>
    </xf>
    <xf numFmtId="181" fontId="25" fillId="0" borderId="247" xfId="65" applyNumberFormat="1" applyFont="1" applyBorder="1" applyAlignment="1" applyProtection="1">
      <alignment horizontal="left" shrinkToFit="1"/>
      <protection locked="0"/>
    </xf>
    <xf numFmtId="181" fontId="25" fillId="0" borderId="234" xfId="65" applyNumberFormat="1" applyFont="1" applyBorder="1" applyAlignment="1" applyProtection="1">
      <alignment horizontal="left" shrinkToFit="1"/>
      <protection locked="0"/>
    </xf>
    <xf numFmtId="181" fontId="25" fillId="0" borderId="248" xfId="65" applyNumberFormat="1" applyFont="1" applyBorder="1" applyAlignment="1" applyProtection="1">
      <alignment horizontal="left" shrinkToFit="1"/>
      <protection locked="0"/>
    </xf>
    <xf numFmtId="181" fontId="25" fillId="0" borderId="249" xfId="65" applyNumberFormat="1" applyFont="1" applyBorder="1" applyAlignment="1" applyProtection="1">
      <alignment horizontal="left" shrinkToFit="1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良い" xfId="66"/>
  </cellStyles>
  <dxfs count="13">
    <dxf>
      <fill>
        <patternFill>
          <bgColor theme="9" tint="0.5999000072479248"/>
        </patternFill>
      </fill>
    </dxf>
    <dxf/>
    <dxf>
      <fill>
        <patternFill>
          <bgColor theme="9" tint="0.5999000072479248"/>
        </patternFill>
      </fill>
    </dxf>
    <dxf/>
    <dxf>
      <fill>
        <patternFill>
          <bgColor theme="9" tint="0.5999000072479248"/>
        </patternFill>
      </fill>
    </dxf>
    <dxf/>
    <dxf>
      <fill>
        <patternFill>
          <bgColor theme="7" tint="0.7999200224876404"/>
        </patternFill>
      </fill>
    </dxf>
    <dxf>
      <fill>
        <patternFill>
          <bgColor theme="9" tint="0.5999000072479248"/>
        </patternFill>
      </fill>
    </dxf>
    <dxf/>
    <dxf>
      <font>
        <color indexed="10"/>
      </font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  <dxf>
      <font>
        <color rgb="FFFF0000"/>
      </font>
      <fill>
        <patternFill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1FFFF"/>
      <rgbColor rgb="00CCFFCC"/>
      <rgbColor rgb="00FFFFD1"/>
      <rgbColor rgb="0099CCFF"/>
      <rgbColor rgb="00FF99CC"/>
      <rgbColor rgb="00E2C5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133350</xdr:rowOff>
    </xdr:from>
    <xdr:to>
      <xdr:col>12</xdr:col>
      <xdr:colOff>857250</xdr:colOff>
      <xdr:row>9</xdr:row>
      <xdr:rowOff>190500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103727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10</xdr:row>
      <xdr:rowOff>66675</xdr:rowOff>
    </xdr:from>
    <xdr:to>
      <xdr:col>24</xdr:col>
      <xdr:colOff>38100</xdr:colOff>
      <xdr:row>10</xdr:row>
      <xdr:rowOff>66675</xdr:rowOff>
    </xdr:to>
    <xdr:sp>
      <xdr:nvSpPr>
        <xdr:cNvPr id="1" name="Line 206"/>
        <xdr:cNvSpPr>
          <a:spLocks/>
        </xdr:cNvSpPr>
      </xdr:nvSpPr>
      <xdr:spPr>
        <a:xfrm>
          <a:off x="3771900" y="1733550"/>
          <a:ext cx="522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24</xdr:col>
      <xdr:colOff>38100</xdr:colOff>
      <xdr:row>10</xdr:row>
      <xdr:rowOff>66675</xdr:rowOff>
    </xdr:from>
    <xdr:to>
      <xdr:col>24</xdr:col>
      <xdr:colOff>38100</xdr:colOff>
      <xdr:row>11</xdr:row>
      <xdr:rowOff>66675</xdr:rowOff>
    </xdr:to>
    <xdr:sp>
      <xdr:nvSpPr>
        <xdr:cNvPr id="2" name="Line 207"/>
        <xdr:cNvSpPr>
          <a:spLocks/>
        </xdr:cNvSpPr>
      </xdr:nvSpPr>
      <xdr:spPr>
        <a:xfrm>
          <a:off x="9001125" y="17335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24</xdr:col>
      <xdr:colOff>38100</xdr:colOff>
      <xdr:row>11</xdr:row>
      <xdr:rowOff>66675</xdr:rowOff>
    </xdr:from>
    <xdr:to>
      <xdr:col>30</xdr:col>
      <xdr:colOff>180975</xdr:colOff>
      <xdr:row>11</xdr:row>
      <xdr:rowOff>66675</xdr:rowOff>
    </xdr:to>
    <xdr:sp>
      <xdr:nvSpPr>
        <xdr:cNvPr id="3" name="Line 208"/>
        <xdr:cNvSpPr>
          <a:spLocks/>
        </xdr:cNvSpPr>
      </xdr:nvSpPr>
      <xdr:spPr>
        <a:xfrm>
          <a:off x="9001125" y="1895475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24</xdr:col>
      <xdr:colOff>180975</xdr:colOff>
      <xdr:row>11</xdr:row>
      <xdr:rowOff>66675</xdr:rowOff>
    </xdr:from>
    <xdr:to>
      <xdr:col>24</xdr:col>
      <xdr:colOff>609600</xdr:colOff>
      <xdr:row>13</xdr:row>
      <xdr:rowOff>47625</xdr:rowOff>
    </xdr:to>
    <xdr:sp>
      <xdr:nvSpPr>
        <xdr:cNvPr id="4" name="Rectangle 209"/>
        <xdr:cNvSpPr>
          <a:spLocks/>
        </xdr:cNvSpPr>
      </xdr:nvSpPr>
      <xdr:spPr>
        <a:xfrm>
          <a:off x="9144000" y="1895475"/>
          <a:ext cx="4286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22</xdr:col>
      <xdr:colOff>104775</xdr:colOff>
      <xdr:row>10</xdr:row>
      <xdr:rowOff>66675</xdr:rowOff>
    </xdr:from>
    <xdr:to>
      <xdr:col>22</xdr:col>
      <xdr:colOff>342900</xdr:colOff>
      <xdr:row>16</xdr:row>
      <xdr:rowOff>66675</xdr:rowOff>
    </xdr:to>
    <xdr:sp>
      <xdr:nvSpPr>
        <xdr:cNvPr id="5" name="Rectangle 210"/>
        <xdr:cNvSpPr>
          <a:spLocks/>
        </xdr:cNvSpPr>
      </xdr:nvSpPr>
      <xdr:spPr>
        <a:xfrm>
          <a:off x="8210550" y="1733550"/>
          <a:ext cx="238125" cy="9715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428625</xdr:colOff>
      <xdr:row>10</xdr:row>
      <xdr:rowOff>66675</xdr:rowOff>
    </xdr:from>
    <xdr:to>
      <xdr:col>13</xdr:col>
      <xdr:colOff>123825</xdr:colOff>
      <xdr:row>12</xdr:row>
      <xdr:rowOff>123825</xdr:rowOff>
    </xdr:to>
    <xdr:sp>
      <xdr:nvSpPr>
        <xdr:cNvPr id="6" name="Rectangle 213"/>
        <xdr:cNvSpPr>
          <a:spLocks/>
        </xdr:cNvSpPr>
      </xdr:nvSpPr>
      <xdr:spPr>
        <a:xfrm>
          <a:off x="4524375" y="1733550"/>
          <a:ext cx="200025" cy="3810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13</xdr:col>
      <xdr:colOff>142875</xdr:colOff>
      <xdr:row>11</xdr:row>
      <xdr:rowOff>142875</xdr:rowOff>
    </xdr:from>
    <xdr:to>
      <xdr:col>22</xdr:col>
      <xdr:colOff>104775</xdr:colOff>
      <xdr:row>13</xdr:row>
      <xdr:rowOff>123825</xdr:rowOff>
    </xdr:to>
    <xdr:sp>
      <xdr:nvSpPr>
        <xdr:cNvPr id="7" name="Line 214"/>
        <xdr:cNvSpPr>
          <a:spLocks/>
        </xdr:cNvSpPr>
      </xdr:nvSpPr>
      <xdr:spPr>
        <a:xfrm>
          <a:off x="4743450" y="1971675"/>
          <a:ext cx="3467100" cy="3048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95250</xdr:colOff>
      <xdr:row>7</xdr:row>
      <xdr:rowOff>85725</xdr:rowOff>
    </xdr:from>
    <xdr:to>
      <xdr:col>14</xdr:col>
      <xdr:colOff>95250</xdr:colOff>
      <xdr:row>10</xdr:row>
      <xdr:rowOff>66675</xdr:rowOff>
    </xdr:to>
    <xdr:sp>
      <xdr:nvSpPr>
        <xdr:cNvPr id="8" name="Line 216"/>
        <xdr:cNvSpPr>
          <a:spLocks/>
        </xdr:cNvSpPr>
      </xdr:nvSpPr>
      <xdr:spPr>
        <a:xfrm>
          <a:off x="5124450" y="12668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18</xdr:col>
      <xdr:colOff>323850</xdr:colOff>
      <xdr:row>7</xdr:row>
      <xdr:rowOff>85725</xdr:rowOff>
    </xdr:from>
    <xdr:to>
      <xdr:col>18</xdr:col>
      <xdr:colOff>323850</xdr:colOff>
      <xdr:row>10</xdr:row>
      <xdr:rowOff>66675</xdr:rowOff>
    </xdr:to>
    <xdr:sp>
      <xdr:nvSpPr>
        <xdr:cNvPr id="9" name="Line 218"/>
        <xdr:cNvSpPr>
          <a:spLocks/>
        </xdr:cNvSpPr>
      </xdr:nvSpPr>
      <xdr:spPr>
        <a:xfrm>
          <a:off x="6743700" y="12668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13</xdr:col>
      <xdr:colOff>371475</xdr:colOff>
      <xdr:row>6</xdr:row>
      <xdr:rowOff>19050</xdr:rowOff>
    </xdr:from>
    <xdr:to>
      <xdr:col>16</xdr:col>
      <xdr:colOff>390525</xdr:colOff>
      <xdr:row>7</xdr:row>
      <xdr:rowOff>142875</xdr:rowOff>
    </xdr:to>
    <xdr:sp>
      <xdr:nvSpPr>
        <xdr:cNvPr id="10" name="Line 219"/>
        <xdr:cNvSpPr>
          <a:spLocks/>
        </xdr:cNvSpPr>
      </xdr:nvSpPr>
      <xdr:spPr>
        <a:xfrm flipV="1">
          <a:off x="4972050" y="1038225"/>
          <a:ext cx="9620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16</xdr:col>
      <xdr:colOff>381000</xdr:colOff>
      <xdr:row>6</xdr:row>
      <xdr:rowOff>19050</xdr:rowOff>
    </xdr:from>
    <xdr:to>
      <xdr:col>19</xdr:col>
      <xdr:colOff>104775</xdr:colOff>
      <xdr:row>7</xdr:row>
      <xdr:rowOff>142875</xdr:rowOff>
    </xdr:to>
    <xdr:sp>
      <xdr:nvSpPr>
        <xdr:cNvPr id="11" name="Line 220"/>
        <xdr:cNvSpPr>
          <a:spLocks/>
        </xdr:cNvSpPr>
      </xdr:nvSpPr>
      <xdr:spPr>
        <a:xfrm>
          <a:off x="5924550" y="1038225"/>
          <a:ext cx="10287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22</xdr:col>
      <xdr:colOff>342900</xdr:colOff>
      <xdr:row>15</xdr:row>
      <xdr:rowOff>28575</xdr:rowOff>
    </xdr:from>
    <xdr:to>
      <xdr:col>29</xdr:col>
      <xdr:colOff>171450</xdr:colOff>
      <xdr:row>15</xdr:row>
      <xdr:rowOff>133350</xdr:rowOff>
    </xdr:to>
    <xdr:sp>
      <xdr:nvSpPr>
        <xdr:cNvPr id="12" name="Line 221"/>
        <xdr:cNvSpPr>
          <a:spLocks/>
        </xdr:cNvSpPr>
      </xdr:nvSpPr>
      <xdr:spPr>
        <a:xfrm>
          <a:off x="8448675" y="2505075"/>
          <a:ext cx="3190875" cy="1047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22</xdr:col>
      <xdr:colOff>342900</xdr:colOff>
      <xdr:row>16</xdr:row>
      <xdr:rowOff>66675</xdr:rowOff>
    </xdr:from>
    <xdr:to>
      <xdr:col>29</xdr:col>
      <xdr:colOff>57150</xdr:colOff>
      <xdr:row>17</xdr:row>
      <xdr:rowOff>9525</xdr:rowOff>
    </xdr:to>
    <xdr:sp>
      <xdr:nvSpPr>
        <xdr:cNvPr id="13" name="Line 225"/>
        <xdr:cNvSpPr>
          <a:spLocks/>
        </xdr:cNvSpPr>
      </xdr:nvSpPr>
      <xdr:spPr>
        <a:xfrm>
          <a:off x="8448675" y="2705100"/>
          <a:ext cx="3076575" cy="1047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29</xdr:col>
      <xdr:colOff>114300</xdr:colOff>
      <xdr:row>17</xdr:row>
      <xdr:rowOff>38100</xdr:rowOff>
    </xdr:from>
    <xdr:to>
      <xdr:col>29</xdr:col>
      <xdr:colOff>504825</xdr:colOff>
      <xdr:row>19</xdr:row>
      <xdr:rowOff>76200</xdr:rowOff>
    </xdr:to>
    <xdr:sp>
      <xdr:nvSpPr>
        <xdr:cNvPr id="14" name="Oval 227"/>
        <xdr:cNvSpPr>
          <a:spLocks/>
        </xdr:cNvSpPr>
      </xdr:nvSpPr>
      <xdr:spPr>
        <a:xfrm>
          <a:off x="11582400" y="2838450"/>
          <a:ext cx="390525" cy="361950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26</xdr:col>
      <xdr:colOff>38100</xdr:colOff>
      <xdr:row>13</xdr:row>
      <xdr:rowOff>0</xdr:rowOff>
    </xdr:from>
    <xdr:to>
      <xdr:col>26</xdr:col>
      <xdr:colOff>209550</xdr:colOff>
      <xdr:row>14</xdr:row>
      <xdr:rowOff>9525</xdr:rowOff>
    </xdr:to>
    <xdr:sp>
      <xdr:nvSpPr>
        <xdr:cNvPr id="15" name="Oval 228"/>
        <xdr:cNvSpPr>
          <a:spLocks noChangeAspect="1"/>
        </xdr:cNvSpPr>
      </xdr:nvSpPr>
      <xdr:spPr>
        <a:xfrm>
          <a:off x="10258425" y="2152650"/>
          <a:ext cx="171450" cy="171450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27</xdr:col>
      <xdr:colOff>133350</xdr:colOff>
      <xdr:row>17</xdr:row>
      <xdr:rowOff>123825</xdr:rowOff>
    </xdr:from>
    <xdr:to>
      <xdr:col>27</xdr:col>
      <xdr:colOff>333375</xdr:colOff>
      <xdr:row>18</xdr:row>
      <xdr:rowOff>142875</xdr:rowOff>
    </xdr:to>
    <xdr:sp>
      <xdr:nvSpPr>
        <xdr:cNvPr id="16" name="Oval 229"/>
        <xdr:cNvSpPr>
          <a:spLocks noChangeAspect="1"/>
        </xdr:cNvSpPr>
      </xdr:nvSpPr>
      <xdr:spPr>
        <a:xfrm>
          <a:off x="10744200" y="2924175"/>
          <a:ext cx="200025" cy="18097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22</xdr:col>
      <xdr:colOff>247650</xdr:colOff>
      <xdr:row>9</xdr:row>
      <xdr:rowOff>28575</xdr:rowOff>
    </xdr:from>
    <xdr:to>
      <xdr:col>22</xdr:col>
      <xdr:colOff>247650</xdr:colOff>
      <xdr:row>17</xdr:row>
      <xdr:rowOff>76200</xdr:rowOff>
    </xdr:to>
    <xdr:sp>
      <xdr:nvSpPr>
        <xdr:cNvPr id="17" name="Line 230"/>
        <xdr:cNvSpPr>
          <a:spLocks/>
        </xdr:cNvSpPr>
      </xdr:nvSpPr>
      <xdr:spPr>
        <a:xfrm>
          <a:off x="8353425" y="1533525"/>
          <a:ext cx="0" cy="1343025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22</xdr:col>
      <xdr:colOff>247650</xdr:colOff>
      <xdr:row>5</xdr:row>
      <xdr:rowOff>0</xdr:rowOff>
    </xdr:from>
    <xdr:to>
      <xdr:col>22</xdr:col>
      <xdr:colOff>247650</xdr:colOff>
      <xdr:row>8</xdr:row>
      <xdr:rowOff>95250</xdr:rowOff>
    </xdr:to>
    <xdr:sp>
      <xdr:nvSpPr>
        <xdr:cNvPr id="18" name="Line 231"/>
        <xdr:cNvSpPr>
          <a:spLocks/>
        </xdr:cNvSpPr>
      </xdr:nvSpPr>
      <xdr:spPr>
        <a:xfrm flipV="1">
          <a:off x="8353425" y="857250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29</xdr:col>
      <xdr:colOff>304800</xdr:colOff>
      <xdr:row>5</xdr:row>
      <xdr:rowOff>19050</xdr:rowOff>
    </xdr:from>
    <xdr:to>
      <xdr:col>29</xdr:col>
      <xdr:colOff>304800</xdr:colOff>
      <xdr:row>10</xdr:row>
      <xdr:rowOff>85725</xdr:rowOff>
    </xdr:to>
    <xdr:sp>
      <xdr:nvSpPr>
        <xdr:cNvPr id="19" name="Line 232"/>
        <xdr:cNvSpPr>
          <a:spLocks/>
        </xdr:cNvSpPr>
      </xdr:nvSpPr>
      <xdr:spPr>
        <a:xfrm flipV="1">
          <a:off x="11772900" y="876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22</xdr:col>
      <xdr:colOff>247650</xdr:colOff>
      <xdr:row>5</xdr:row>
      <xdr:rowOff>66675</xdr:rowOff>
    </xdr:from>
    <xdr:to>
      <xdr:col>29</xdr:col>
      <xdr:colOff>304800</xdr:colOff>
      <xdr:row>5</xdr:row>
      <xdr:rowOff>66675</xdr:rowOff>
    </xdr:to>
    <xdr:sp>
      <xdr:nvSpPr>
        <xdr:cNvPr id="20" name="Line 233"/>
        <xdr:cNvSpPr>
          <a:spLocks/>
        </xdr:cNvSpPr>
      </xdr:nvSpPr>
      <xdr:spPr>
        <a:xfrm>
          <a:off x="8353425" y="923925"/>
          <a:ext cx="341947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26</xdr:col>
      <xdr:colOff>123825</xdr:colOff>
      <xdr:row>7</xdr:row>
      <xdr:rowOff>133350</xdr:rowOff>
    </xdr:from>
    <xdr:to>
      <xdr:col>26</xdr:col>
      <xdr:colOff>123825</xdr:colOff>
      <xdr:row>10</xdr:row>
      <xdr:rowOff>47625</xdr:rowOff>
    </xdr:to>
    <xdr:sp>
      <xdr:nvSpPr>
        <xdr:cNvPr id="21" name="Line 234"/>
        <xdr:cNvSpPr>
          <a:spLocks/>
        </xdr:cNvSpPr>
      </xdr:nvSpPr>
      <xdr:spPr>
        <a:xfrm flipV="1">
          <a:off x="10344150" y="13144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27</xdr:col>
      <xdr:colOff>247650</xdr:colOff>
      <xdr:row>6</xdr:row>
      <xdr:rowOff>38100</xdr:rowOff>
    </xdr:from>
    <xdr:to>
      <xdr:col>27</xdr:col>
      <xdr:colOff>247650</xdr:colOff>
      <xdr:row>10</xdr:row>
      <xdr:rowOff>66675</xdr:rowOff>
    </xdr:to>
    <xdr:sp>
      <xdr:nvSpPr>
        <xdr:cNvPr id="22" name="Line 235"/>
        <xdr:cNvSpPr>
          <a:spLocks/>
        </xdr:cNvSpPr>
      </xdr:nvSpPr>
      <xdr:spPr>
        <a:xfrm flipV="1">
          <a:off x="10858500" y="1057275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22</xdr:col>
      <xdr:colOff>247650</xdr:colOff>
      <xdr:row>6</xdr:row>
      <xdr:rowOff>123825</xdr:rowOff>
    </xdr:from>
    <xdr:to>
      <xdr:col>27</xdr:col>
      <xdr:colOff>257175</xdr:colOff>
      <xdr:row>6</xdr:row>
      <xdr:rowOff>123825</xdr:rowOff>
    </xdr:to>
    <xdr:sp>
      <xdr:nvSpPr>
        <xdr:cNvPr id="23" name="Line 236"/>
        <xdr:cNvSpPr>
          <a:spLocks/>
        </xdr:cNvSpPr>
      </xdr:nvSpPr>
      <xdr:spPr>
        <a:xfrm>
          <a:off x="8353425" y="1143000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22</xdr:col>
      <xdr:colOff>247650</xdr:colOff>
      <xdr:row>8</xdr:row>
      <xdr:rowOff>9525</xdr:rowOff>
    </xdr:from>
    <xdr:to>
      <xdr:col>26</xdr:col>
      <xdr:colOff>123825</xdr:colOff>
      <xdr:row>8</xdr:row>
      <xdr:rowOff>9525</xdr:rowOff>
    </xdr:to>
    <xdr:sp>
      <xdr:nvSpPr>
        <xdr:cNvPr id="24" name="Line 237"/>
        <xdr:cNvSpPr>
          <a:spLocks/>
        </xdr:cNvSpPr>
      </xdr:nvSpPr>
      <xdr:spPr>
        <a:xfrm>
          <a:off x="8353425" y="13525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24</xdr:col>
      <xdr:colOff>190500</xdr:colOff>
      <xdr:row>8</xdr:row>
      <xdr:rowOff>114300</xdr:rowOff>
    </xdr:from>
    <xdr:to>
      <xdr:col>24</xdr:col>
      <xdr:colOff>190500</xdr:colOff>
      <xdr:row>10</xdr:row>
      <xdr:rowOff>66675</xdr:rowOff>
    </xdr:to>
    <xdr:sp>
      <xdr:nvSpPr>
        <xdr:cNvPr id="25" name="Line 238"/>
        <xdr:cNvSpPr>
          <a:spLocks/>
        </xdr:cNvSpPr>
      </xdr:nvSpPr>
      <xdr:spPr>
        <a:xfrm flipV="1">
          <a:off x="9153525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22</xdr:col>
      <xdr:colOff>247650</xdr:colOff>
      <xdr:row>9</xdr:row>
      <xdr:rowOff>19050</xdr:rowOff>
    </xdr:from>
    <xdr:to>
      <xdr:col>24</xdr:col>
      <xdr:colOff>180975</xdr:colOff>
      <xdr:row>9</xdr:row>
      <xdr:rowOff>19050</xdr:rowOff>
    </xdr:to>
    <xdr:sp>
      <xdr:nvSpPr>
        <xdr:cNvPr id="26" name="Line 239"/>
        <xdr:cNvSpPr>
          <a:spLocks/>
        </xdr:cNvSpPr>
      </xdr:nvSpPr>
      <xdr:spPr>
        <a:xfrm>
          <a:off x="8353425" y="152400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13</xdr:col>
      <xdr:colOff>0</xdr:colOff>
      <xdr:row>5</xdr:row>
      <xdr:rowOff>0</xdr:rowOff>
    </xdr:from>
    <xdr:to>
      <xdr:col>13</xdr:col>
      <xdr:colOff>0</xdr:colOff>
      <xdr:row>8</xdr:row>
      <xdr:rowOff>95250</xdr:rowOff>
    </xdr:to>
    <xdr:sp>
      <xdr:nvSpPr>
        <xdr:cNvPr id="27" name="Line 240"/>
        <xdr:cNvSpPr>
          <a:spLocks/>
        </xdr:cNvSpPr>
      </xdr:nvSpPr>
      <xdr:spPr>
        <a:xfrm flipV="1">
          <a:off x="4600575" y="857250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13</xdr:col>
      <xdr:colOff>28575</xdr:colOff>
      <xdr:row>9</xdr:row>
      <xdr:rowOff>28575</xdr:rowOff>
    </xdr:from>
    <xdr:to>
      <xdr:col>13</xdr:col>
      <xdr:colOff>28575</xdr:colOff>
      <xdr:row>13</xdr:row>
      <xdr:rowOff>19050</xdr:rowOff>
    </xdr:to>
    <xdr:sp>
      <xdr:nvSpPr>
        <xdr:cNvPr id="28" name="Line 241"/>
        <xdr:cNvSpPr>
          <a:spLocks/>
        </xdr:cNvSpPr>
      </xdr:nvSpPr>
      <xdr:spPr>
        <a:xfrm>
          <a:off x="4629150" y="153352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13</xdr:col>
      <xdr:colOff>9525</xdr:colOff>
      <xdr:row>5</xdr:row>
      <xdr:rowOff>57150</xdr:rowOff>
    </xdr:from>
    <xdr:to>
      <xdr:col>22</xdr:col>
      <xdr:colOff>238125</xdr:colOff>
      <xdr:row>5</xdr:row>
      <xdr:rowOff>57150</xdr:rowOff>
    </xdr:to>
    <xdr:sp>
      <xdr:nvSpPr>
        <xdr:cNvPr id="29" name="Line 242"/>
        <xdr:cNvSpPr>
          <a:spLocks/>
        </xdr:cNvSpPr>
      </xdr:nvSpPr>
      <xdr:spPr>
        <a:xfrm>
          <a:off x="4610100" y="914400"/>
          <a:ext cx="373380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16</xdr:col>
      <xdr:colOff>438150</xdr:colOff>
      <xdr:row>3</xdr:row>
      <xdr:rowOff>76200</xdr:rowOff>
    </xdr:from>
    <xdr:to>
      <xdr:col>18</xdr:col>
      <xdr:colOff>95250</xdr:colOff>
      <xdr:row>5</xdr:row>
      <xdr:rowOff>57150</xdr:rowOff>
    </xdr:to>
    <xdr:sp>
      <xdr:nvSpPr>
        <xdr:cNvPr id="30" name="Text Box 243"/>
        <xdr:cNvSpPr txBox="1">
          <a:spLocks noChangeArrowheads="1"/>
        </xdr:cNvSpPr>
      </xdr:nvSpPr>
      <xdr:spPr>
        <a:xfrm>
          <a:off x="5981700" y="609600"/>
          <a:ext cx="533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宅内配管　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L1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L1'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）</a:t>
          </a:r>
        </a:p>
      </xdr:txBody>
    </xdr:sp>
    <xdr:clientData/>
  </xdr:twoCellAnchor>
  <xdr:twoCellAnchor editAs="absolute">
    <xdr:from>
      <xdr:col>23</xdr:col>
      <xdr:colOff>95250</xdr:colOff>
      <xdr:row>8</xdr:row>
      <xdr:rowOff>19050</xdr:rowOff>
    </xdr:from>
    <xdr:to>
      <xdr:col>23</xdr:col>
      <xdr:colOff>228600</xdr:colOff>
      <xdr:row>9</xdr:row>
      <xdr:rowOff>19050</xdr:rowOff>
    </xdr:to>
    <xdr:sp fLocksText="0" textlink="$V$26">
      <xdr:nvSpPr>
        <xdr:cNvPr id="31" name="Text Box 244"/>
        <xdr:cNvSpPr txBox="1">
          <a:spLocks noChangeArrowheads="1"/>
        </xdr:cNvSpPr>
      </xdr:nvSpPr>
      <xdr:spPr>
        <a:xfrm>
          <a:off x="8629650" y="136207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fld id="{c8d1e581-d5fd-4fbb-8f3a-376987c76816}" type="TxLink">
            <a:rPr lang="en-US" cap="none" sz="900" b="0" i="0" u="none" baseline="0">
              <a:solidFill>
                <a:srgbClr val="000000"/>
              </a:solidFill>
            </a:rPr>
            <a:t>L2</a:t>
          </a:fld>
        </a:p>
      </xdr:txBody>
    </xdr:sp>
    <xdr:clientData/>
  </xdr:twoCellAnchor>
  <xdr:twoCellAnchor editAs="absolute">
    <xdr:from>
      <xdr:col>24</xdr:col>
      <xdr:colOff>352425</xdr:colOff>
      <xdr:row>7</xdr:row>
      <xdr:rowOff>0</xdr:rowOff>
    </xdr:from>
    <xdr:to>
      <xdr:col>24</xdr:col>
      <xdr:colOff>485775</xdr:colOff>
      <xdr:row>8</xdr:row>
      <xdr:rowOff>0</xdr:rowOff>
    </xdr:to>
    <xdr:sp fLocksText="0" textlink="$AB$26">
      <xdr:nvSpPr>
        <xdr:cNvPr id="32" name="Text Box 245"/>
        <xdr:cNvSpPr txBox="1">
          <a:spLocks noChangeArrowheads="1"/>
        </xdr:cNvSpPr>
      </xdr:nvSpPr>
      <xdr:spPr>
        <a:xfrm>
          <a:off x="9315450" y="11811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fld id="{e466b585-e1d1-47b3-a786-e29f4af7b398}" type="TxLink">
            <a:rPr lang="en-US" cap="none" sz="900" b="0" i="0" u="none" baseline="0">
              <a:solidFill>
                <a:srgbClr val="000000"/>
              </a:solidFill>
            </a:rPr>
            <a:t>L3</a:t>
          </a:fld>
        </a:p>
      </xdr:txBody>
    </xdr:sp>
    <xdr:clientData/>
  </xdr:twoCellAnchor>
  <xdr:twoCellAnchor editAs="absolute">
    <xdr:from>
      <xdr:col>25</xdr:col>
      <xdr:colOff>209550</xdr:colOff>
      <xdr:row>4</xdr:row>
      <xdr:rowOff>47625</xdr:rowOff>
    </xdr:from>
    <xdr:to>
      <xdr:col>25</xdr:col>
      <xdr:colOff>342900</xdr:colOff>
      <xdr:row>5</xdr:row>
      <xdr:rowOff>47625</xdr:rowOff>
    </xdr:to>
    <xdr:sp fLocksText="0" textlink="$AQ$26">
      <xdr:nvSpPr>
        <xdr:cNvPr id="33" name="Text Box 247"/>
        <xdr:cNvSpPr txBox="1">
          <a:spLocks noChangeArrowheads="1"/>
        </xdr:cNvSpPr>
      </xdr:nvSpPr>
      <xdr:spPr>
        <a:xfrm>
          <a:off x="10077450" y="7429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fld id="{960636ef-f275-4e4d-9bee-6221935d7c01}" type="TxLink">
            <a:rPr lang="en-US" cap="none" sz="900" b="0" i="0" u="none" baseline="0">
              <a:solidFill>
                <a:srgbClr val="000000"/>
              </a:solidFill>
            </a:rPr>
            <a:t>L4</a:t>
          </a:fld>
        </a:p>
      </xdr:txBody>
    </xdr:sp>
    <xdr:clientData/>
  </xdr:twoCellAnchor>
  <xdr:twoCellAnchor editAs="absolute">
    <xdr:from>
      <xdr:col>24</xdr:col>
      <xdr:colOff>752475</xdr:colOff>
      <xdr:row>5</xdr:row>
      <xdr:rowOff>95250</xdr:rowOff>
    </xdr:from>
    <xdr:to>
      <xdr:col>24</xdr:col>
      <xdr:colOff>885825</xdr:colOff>
      <xdr:row>6</xdr:row>
      <xdr:rowOff>95250</xdr:rowOff>
    </xdr:to>
    <xdr:sp fLocksText="0" textlink="$AB$26">
      <xdr:nvSpPr>
        <xdr:cNvPr id="34" name="Text Box 248"/>
        <xdr:cNvSpPr txBox="1">
          <a:spLocks noChangeArrowheads="1"/>
        </xdr:cNvSpPr>
      </xdr:nvSpPr>
      <xdr:spPr>
        <a:xfrm>
          <a:off x="9715500" y="9525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fld id="{84dac094-d575-4d6b-b230-4a9e2cba8e19}" type="TxLink">
            <a:rPr lang="en-US" cap="none" sz="900" b="0" i="0" u="none" baseline="0">
              <a:solidFill>
                <a:srgbClr val="000000"/>
              </a:solidFill>
            </a:rPr>
            <a:t>L3</a:t>
          </a:fld>
        </a:p>
      </xdr:txBody>
    </xdr:sp>
    <xdr:clientData/>
  </xdr:twoCellAnchor>
  <xdr:twoCellAnchor editAs="absolute">
    <xdr:from>
      <xdr:col>12</xdr:col>
      <xdr:colOff>476250</xdr:colOff>
      <xdr:row>10</xdr:row>
      <xdr:rowOff>0</xdr:rowOff>
    </xdr:from>
    <xdr:to>
      <xdr:col>13</xdr:col>
      <xdr:colOff>57150</xdr:colOff>
      <xdr:row>10</xdr:row>
      <xdr:rowOff>66675</xdr:rowOff>
    </xdr:to>
    <xdr:sp>
      <xdr:nvSpPr>
        <xdr:cNvPr id="35" name="AutoShape 250"/>
        <xdr:cNvSpPr>
          <a:spLocks noChangeAspect="1"/>
        </xdr:cNvSpPr>
      </xdr:nvSpPr>
      <xdr:spPr>
        <a:xfrm rot="10800000">
          <a:off x="4572000" y="1666875"/>
          <a:ext cx="85725" cy="666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13</xdr:col>
      <xdr:colOff>180975</xdr:colOff>
      <xdr:row>9</xdr:row>
      <xdr:rowOff>47625</xdr:rowOff>
    </xdr:from>
    <xdr:to>
      <xdr:col>13</xdr:col>
      <xdr:colOff>371475</xdr:colOff>
      <xdr:row>10</xdr:row>
      <xdr:rowOff>47625</xdr:rowOff>
    </xdr:to>
    <xdr:sp fLocksText="0" textlink="$H$26">
      <xdr:nvSpPr>
        <xdr:cNvPr id="36" name="Text Box 251"/>
        <xdr:cNvSpPr txBox="1">
          <a:spLocks noChangeArrowheads="1"/>
        </xdr:cNvSpPr>
      </xdr:nvSpPr>
      <xdr:spPr>
        <a:xfrm>
          <a:off x="4781550" y="15525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fld id="{c8d46199-b724-44c0-9145-b9bbbe423a24}" type="TxLink">
            <a:rPr lang="en-US" cap="none" sz="900" b="0" i="0" u="none" baseline="0">
              <a:solidFill>
                <a:srgbClr val="000000"/>
              </a:solidFill>
            </a:rPr>
            <a:t>GH1</a:t>
          </a:fld>
        </a:p>
      </xdr:txBody>
    </xdr:sp>
    <xdr:clientData/>
  </xdr:twoCellAnchor>
  <xdr:twoCellAnchor editAs="absolute">
    <xdr:from>
      <xdr:col>22</xdr:col>
      <xdr:colOff>200025</xdr:colOff>
      <xdr:row>10</xdr:row>
      <xdr:rowOff>0</xdr:rowOff>
    </xdr:from>
    <xdr:to>
      <xdr:col>22</xdr:col>
      <xdr:colOff>314325</xdr:colOff>
      <xdr:row>10</xdr:row>
      <xdr:rowOff>66675</xdr:rowOff>
    </xdr:to>
    <xdr:sp>
      <xdr:nvSpPr>
        <xdr:cNvPr id="37" name="AutoShape 252"/>
        <xdr:cNvSpPr>
          <a:spLocks noChangeAspect="1"/>
        </xdr:cNvSpPr>
      </xdr:nvSpPr>
      <xdr:spPr>
        <a:xfrm rot="10800000">
          <a:off x="8305800" y="1666875"/>
          <a:ext cx="114300" cy="666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21</xdr:col>
      <xdr:colOff>323850</xdr:colOff>
      <xdr:row>9</xdr:row>
      <xdr:rowOff>47625</xdr:rowOff>
    </xdr:from>
    <xdr:to>
      <xdr:col>22</xdr:col>
      <xdr:colOff>85725</xdr:colOff>
      <xdr:row>10</xdr:row>
      <xdr:rowOff>47625</xdr:rowOff>
    </xdr:to>
    <xdr:sp fLocksText="0" textlink="$N$26">
      <xdr:nvSpPr>
        <xdr:cNvPr id="38" name="Text Box 253"/>
        <xdr:cNvSpPr txBox="1">
          <a:spLocks noChangeArrowheads="1"/>
        </xdr:cNvSpPr>
      </xdr:nvSpPr>
      <xdr:spPr>
        <a:xfrm>
          <a:off x="8001000" y="15525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fld id="{27a19c4e-1d84-4813-82a3-6f9264b1c3bd}" type="TxLink">
            <a:rPr lang="en-US" cap="none" sz="900" b="0" i="0" u="none" baseline="0">
              <a:solidFill>
                <a:srgbClr val="000000"/>
              </a:solidFill>
            </a:rPr>
            <a:t>GH2</a:t>
          </a:fld>
        </a:p>
      </xdr:txBody>
    </xdr:sp>
    <xdr:clientData/>
  </xdr:twoCellAnchor>
  <xdr:twoCellAnchor editAs="absolute">
    <xdr:from>
      <xdr:col>24</xdr:col>
      <xdr:colOff>228600</xdr:colOff>
      <xdr:row>12</xdr:row>
      <xdr:rowOff>123825</xdr:rowOff>
    </xdr:from>
    <xdr:to>
      <xdr:col>24</xdr:col>
      <xdr:colOff>352425</xdr:colOff>
      <xdr:row>13</xdr:row>
      <xdr:rowOff>47625</xdr:rowOff>
    </xdr:to>
    <xdr:sp>
      <xdr:nvSpPr>
        <xdr:cNvPr id="39" name="AutoShape 254"/>
        <xdr:cNvSpPr>
          <a:spLocks noChangeAspect="1"/>
        </xdr:cNvSpPr>
      </xdr:nvSpPr>
      <xdr:spPr>
        <a:xfrm rot="10800000">
          <a:off x="9191625" y="2114550"/>
          <a:ext cx="123825" cy="857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24</xdr:col>
      <xdr:colOff>628650</xdr:colOff>
      <xdr:row>10</xdr:row>
      <xdr:rowOff>133350</xdr:rowOff>
    </xdr:from>
    <xdr:to>
      <xdr:col>24</xdr:col>
      <xdr:colOff>762000</xdr:colOff>
      <xdr:row>11</xdr:row>
      <xdr:rowOff>38100</xdr:rowOff>
    </xdr:to>
    <xdr:sp>
      <xdr:nvSpPr>
        <xdr:cNvPr id="40" name="AutoShape 255"/>
        <xdr:cNvSpPr>
          <a:spLocks noChangeAspect="1"/>
        </xdr:cNvSpPr>
      </xdr:nvSpPr>
      <xdr:spPr>
        <a:xfrm rot="10800000">
          <a:off x="9591675" y="1800225"/>
          <a:ext cx="133350" cy="666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25</xdr:col>
      <xdr:colOff>323850</xdr:colOff>
      <xdr:row>10</xdr:row>
      <xdr:rowOff>38100</xdr:rowOff>
    </xdr:from>
    <xdr:to>
      <xdr:col>26</xdr:col>
      <xdr:colOff>161925</xdr:colOff>
      <xdr:row>11</xdr:row>
      <xdr:rowOff>38100</xdr:rowOff>
    </xdr:to>
    <xdr:sp fLocksText="0" textlink="$R$26">
      <xdr:nvSpPr>
        <xdr:cNvPr id="41" name="Text Box 256"/>
        <xdr:cNvSpPr txBox="1">
          <a:spLocks noChangeArrowheads="1"/>
        </xdr:cNvSpPr>
      </xdr:nvSpPr>
      <xdr:spPr>
        <a:xfrm>
          <a:off x="10191750" y="1704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fld id="{b94dceb3-480b-4f29-be06-65127efc75fb}" type="TxLink">
            <a:rPr lang="en-US" cap="none" sz="900" b="0" i="0" u="none" baseline="0">
              <a:solidFill>
                <a:srgbClr val="000000"/>
              </a:solidFill>
            </a:rPr>
            <a:t>GH3</a:t>
          </a:fld>
        </a:p>
      </xdr:txBody>
    </xdr:sp>
    <xdr:clientData/>
  </xdr:twoCellAnchor>
  <xdr:twoCellAnchor editAs="absolute">
    <xdr:from>
      <xdr:col>24</xdr:col>
      <xdr:colOff>371475</xdr:colOff>
      <xdr:row>12</xdr:row>
      <xdr:rowOff>66675</xdr:rowOff>
    </xdr:from>
    <xdr:to>
      <xdr:col>24</xdr:col>
      <xdr:colOff>561975</xdr:colOff>
      <xdr:row>13</xdr:row>
      <xdr:rowOff>66675</xdr:rowOff>
    </xdr:to>
    <xdr:sp fLocksText="0" textlink="$U$26">
      <xdr:nvSpPr>
        <xdr:cNvPr id="42" name="Text Box 257"/>
        <xdr:cNvSpPr txBox="1">
          <a:spLocks noChangeArrowheads="1"/>
        </xdr:cNvSpPr>
      </xdr:nvSpPr>
      <xdr:spPr>
        <a:xfrm>
          <a:off x="9334500" y="20574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fld id="{5f3a4576-0429-47ce-9edd-a3caa31ea44b}" type="TxLink">
            <a:rPr lang="en-US" cap="none" sz="900" b="0" i="0" u="none" baseline="0">
              <a:solidFill>
                <a:srgbClr val="000000"/>
              </a:solidFill>
            </a:rPr>
            <a:t>EL3</a:t>
          </a:fld>
        </a:p>
      </xdr:txBody>
    </xdr:sp>
    <xdr:clientData/>
  </xdr:twoCellAnchor>
  <xdr:twoCellAnchor editAs="absolute">
    <xdr:from>
      <xdr:col>11</xdr:col>
      <xdr:colOff>152400</xdr:colOff>
      <xdr:row>12</xdr:row>
      <xdr:rowOff>47625</xdr:rowOff>
    </xdr:from>
    <xdr:to>
      <xdr:col>11</xdr:col>
      <xdr:colOff>266700</xdr:colOff>
      <xdr:row>12</xdr:row>
      <xdr:rowOff>123825</xdr:rowOff>
    </xdr:to>
    <xdr:sp>
      <xdr:nvSpPr>
        <xdr:cNvPr id="43" name="AutoShape 259"/>
        <xdr:cNvSpPr>
          <a:spLocks noChangeAspect="1"/>
        </xdr:cNvSpPr>
      </xdr:nvSpPr>
      <xdr:spPr>
        <a:xfrm rot="10800000">
          <a:off x="3895725" y="2038350"/>
          <a:ext cx="114300" cy="762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0</xdr:colOff>
      <xdr:row>11</xdr:row>
      <xdr:rowOff>114300</xdr:rowOff>
    </xdr:from>
    <xdr:to>
      <xdr:col>12</xdr:col>
      <xdr:colOff>190500</xdr:colOff>
      <xdr:row>12</xdr:row>
      <xdr:rowOff>114300</xdr:rowOff>
    </xdr:to>
    <xdr:sp fLocksText="0" textlink="$J$26">
      <xdr:nvSpPr>
        <xdr:cNvPr id="44" name="Text Box 260"/>
        <xdr:cNvSpPr txBox="1">
          <a:spLocks noChangeArrowheads="1"/>
        </xdr:cNvSpPr>
      </xdr:nvSpPr>
      <xdr:spPr>
        <a:xfrm>
          <a:off x="4095750" y="19431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fld id="{da0e27e8-08fb-479e-ab13-23c932c7774c}" type="TxLink">
            <a:rPr lang="en-US" cap="none" sz="900" b="0" i="0" u="none" baseline="0">
              <a:solidFill>
                <a:srgbClr val="000000"/>
              </a:solidFill>
            </a:rPr>
            <a:t>EL1</a:t>
          </a:fld>
        </a:p>
      </xdr:txBody>
    </xdr:sp>
    <xdr:clientData/>
  </xdr:twoCellAnchor>
  <xdr:twoCellAnchor editAs="absolute">
    <xdr:from>
      <xdr:col>16</xdr:col>
      <xdr:colOff>419100</xdr:colOff>
      <xdr:row>11</xdr:row>
      <xdr:rowOff>76200</xdr:rowOff>
    </xdr:from>
    <xdr:to>
      <xdr:col>18</xdr:col>
      <xdr:colOff>190500</xdr:colOff>
      <xdr:row>12</xdr:row>
      <xdr:rowOff>76200</xdr:rowOff>
    </xdr:to>
    <xdr:sp>
      <xdr:nvSpPr>
        <xdr:cNvPr id="45" name="Text Box 261"/>
        <xdr:cNvSpPr txBox="1">
          <a:spLocks noChangeArrowheads="1"/>
        </xdr:cNvSpPr>
      </xdr:nvSpPr>
      <xdr:spPr>
        <a:xfrm>
          <a:off x="5962650" y="1905000"/>
          <a:ext cx="647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勾配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％</a:t>
          </a:r>
        </a:p>
      </xdr:txBody>
    </xdr:sp>
    <xdr:clientData/>
  </xdr:twoCellAnchor>
  <xdr:twoCellAnchor editAs="absolute">
    <xdr:from>
      <xdr:col>17</xdr:col>
      <xdr:colOff>304800</xdr:colOff>
      <xdr:row>11</xdr:row>
      <xdr:rowOff>85725</xdr:rowOff>
    </xdr:from>
    <xdr:to>
      <xdr:col>18</xdr:col>
      <xdr:colOff>9525</xdr:colOff>
      <xdr:row>12</xdr:row>
      <xdr:rowOff>85725</xdr:rowOff>
    </xdr:to>
    <xdr:sp fLocksText="0" textlink="$L$26">
      <xdr:nvSpPr>
        <xdr:cNvPr id="46" name="Text Box 262"/>
        <xdr:cNvSpPr txBox="1">
          <a:spLocks noChangeArrowheads="1"/>
        </xdr:cNvSpPr>
      </xdr:nvSpPr>
      <xdr:spPr>
        <a:xfrm>
          <a:off x="6296025" y="191452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fld id="{34c6eec7-1780-4dfe-9083-8a643a8fc8bc}" type="TxLink">
            <a:rPr lang="en-US" cap="none" sz="900" b="0" i="0" u="none" baseline="0">
              <a:solidFill>
                <a:srgbClr val="000000"/>
              </a:solidFill>
            </a:rPr>
            <a:t>ia</a:t>
          </a:fld>
        </a:p>
      </xdr:txBody>
    </xdr:sp>
    <xdr:clientData/>
  </xdr:twoCellAnchor>
  <xdr:twoCellAnchor editAs="absolute">
    <xdr:from>
      <xdr:col>11</xdr:col>
      <xdr:colOff>95250</xdr:colOff>
      <xdr:row>12</xdr:row>
      <xdr:rowOff>133350</xdr:rowOff>
    </xdr:from>
    <xdr:to>
      <xdr:col>12</xdr:col>
      <xdr:colOff>371475</xdr:colOff>
      <xdr:row>12</xdr:row>
      <xdr:rowOff>133350</xdr:rowOff>
    </xdr:to>
    <xdr:sp>
      <xdr:nvSpPr>
        <xdr:cNvPr id="47" name="Line 266"/>
        <xdr:cNvSpPr>
          <a:spLocks/>
        </xdr:cNvSpPr>
      </xdr:nvSpPr>
      <xdr:spPr>
        <a:xfrm flipH="1">
          <a:off x="3838575" y="21240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20</xdr:col>
      <xdr:colOff>190500</xdr:colOff>
      <xdr:row>12</xdr:row>
      <xdr:rowOff>76200</xdr:rowOff>
    </xdr:from>
    <xdr:to>
      <xdr:col>20</xdr:col>
      <xdr:colOff>314325</xdr:colOff>
      <xdr:row>13</xdr:row>
      <xdr:rowOff>0</xdr:rowOff>
    </xdr:to>
    <xdr:sp>
      <xdr:nvSpPr>
        <xdr:cNvPr id="48" name="AutoShape 267"/>
        <xdr:cNvSpPr>
          <a:spLocks noChangeAspect="1"/>
        </xdr:cNvSpPr>
      </xdr:nvSpPr>
      <xdr:spPr>
        <a:xfrm rot="10800000">
          <a:off x="7439025" y="2066925"/>
          <a:ext cx="123825" cy="857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20</xdr:col>
      <xdr:colOff>419100</xdr:colOff>
      <xdr:row>12</xdr:row>
      <xdr:rowOff>9525</xdr:rowOff>
    </xdr:from>
    <xdr:to>
      <xdr:col>21</xdr:col>
      <xdr:colOff>180975</xdr:colOff>
      <xdr:row>13</xdr:row>
      <xdr:rowOff>9525</xdr:rowOff>
    </xdr:to>
    <xdr:sp fLocksText="0" textlink="$M$26">
      <xdr:nvSpPr>
        <xdr:cNvPr id="49" name="Text Box 268"/>
        <xdr:cNvSpPr txBox="1">
          <a:spLocks noChangeArrowheads="1"/>
        </xdr:cNvSpPr>
      </xdr:nvSpPr>
      <xdr:spPr>
        <a:xfrm>
          <a:off x="7667625" y="20002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fld id="{7c6e8a81-de9c-4dd4-8a43-d1380de47613}" type="TxLink">
            <a:rPr lang="en-US" cap="none" sz="900" b="0" i="0" u="none" baseline="0">
              <a:solidFill>
                <a:srgbClr val="000000"/>
              </a:solidFill>
            </a:rPr>
            <a:t>EL2</a:t>
          </a:fld>
        </a:p>
      </xdr:txBody>
    </xdr:sp>
    <xdr:clientData/>
  </xdr:twoCellAnchor>
  <xdr:twoCellAnchor editAs="absolute">
    <xdr:from>
      <xdr:col>20</xdr:col>
      <xdr:colOff>133350</xdr:colOff>
      <xdr:row>13</xdr:row>
      <xdr:rowOff>0</xdr:rowOff>
    </xdr:from>
    <xdr:to>
      <xdr:col>21</xdr:col>
      <xdr:colOff>381000</xdr:colOff>
      <xdr:row>13</xdr:row>
      <xdr:rowOff>0</xdr:rowOff>
    </xdr:to>
    <xdr:sp>
      <xdr:nvSpPr>
        <xdr:cNvPr id="50" name="Line 269"/>
        <xdr:cNvSpPr>
          <a:spLocks/>
        </xdr:cNvSpPr>
      </xdr:nvSpPr>
      <xdr:spPr>
        <a:xfrm flipH="1">
          <a:off x="7381875" y="21526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13</xdr:col>
      <xdr:colOff>123825</xdr:colOff>
      <xdr:row>12</xdr:row>
      <xdr:rowOff>133350</xdr:rowOff>
    </xdr:from>
    <xdr:to>
      <xdr:col>22</xdr:col>
      <xdr:colOff>114300</xdr:colOff>
      <xdr:row>14</xdr:row>
      <xdr:rowOff>123825</xdr:rowOff>
    </xdr:to>
    <xdr:sp>
      <xdr:nvSpPr>
        <xdr:cNvPr id="51" name="Line 271"/>
        <xdr:cNvSpPr>
          <a:spLocks/>
        </xdr:cNvSpPr>
      </xdr:nvSpPr>
      <xdr:spPr>
        <a:xfrm>
          <a:off x="4724400" y="2124075"/>
          <a:ext cx="3495675" cy="3143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21</xdr:col>
      <xdr:colOff>381000</xdr:colOff>
      <xdr:row>13</xdr:row>
      <xdr:rowOff>0</xdr:rowOff>
    </xdr:from>
    <xdr:to>
      <xdr:col>22</xdr:col>
      <xdr:colOff>104775</xdr:colOff>
      <xdr:row>14</xdr:row>
      <xdr:rowOff>104775</xdr:rowOff>
    </xdr:to>
    <xdr:sp>
      <xdr:nvSpPr>
        <xdr:cNvPr id="52" name="Line 273"/>
        <xdr:cNvSpPr>
          <a:spLocks/>
        </xdr:cNvSpPr>
      </xdr:nvSpPr>
      <xdr:spPr>
        <a:xfrm>
          <a:off x="8058150" y="2152650"/>
          <a:ext cx="1524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23</xdr:col>
      <xdr:colOff>19050</xdr:colOff>
      <xdr:row>17</xdr:row>
      <xdr:rowOff>85725</xdr:rowOff>
    </xdr:from>
    <xdr:to>
      <xdr:col>23</xdr:col>
      <xdr:colOff>161925</xdr:colOff>
      <xdr:row>18</xdr:row>
      <xdr:rowOff>0</xdr:rowOff>
    </xdr:to>
    <xdr:sp>
      <xdr:nvSpPr>
        <xdr:cNvPr id="53" name="AutoShape 274"/>
        <xdr:cNvSpPr>
          <a:spLocks noChangeAspect="1"/>
        </xdr:cNvSpPr>
      </xdr:nvSpPr>
      <xdr:spPr>
        <a:xfrm rot="10800000">
          <a:off x="8553450" y="2886075"/>
          <a:ext cx="142875" cy="762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23</xdr:col>
      <xdr:colOff>209550</xdr:colOff>
      <xdr:row>17</xdr:row>
      <xdr:rowOff>0</xdr:rowOff>
    </xdr:from>
    <xdr:to>
      <xdr:col>23</xdr:col>
      <xdr:colOff>400050</xdr:colOff>
      <xdr:row>18</xdr:row>
      <xdr:rowOff>0</xdr:rowOff>
    </xdr:to>
    <xdr:sp fLocksText="0" textlink="$AN$26">
      <xdr:nvSpPr>
        <xdr:cNvPr id="54" name="Text Box 275"/>
        <xdr:cNvSpPr txBox="1">
          <a:spLocks noChangeArrowheads="1"/>
        </xdr:cNvSpPr>
      </xdr:nvSpPr>
      <xdr:spPr>
        <a:xfrm>
          <a:off x="8743950" y="2800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fld id="{d3fc91cc-0da3-4c60-bc79-78aa200a5948}" type="TxLink">
            <a:rPr lang="en-US" cap="none" sz="900" b="0" i="0" u="none" baseline="0">
              <a:solidFill>
                <a:srgbClr val="000000"/>
              </a:solidFill>
            </a:rPr>
            <a:t>EL4</a:t>
          </a:fld>
        </a:p>
      </xdr:txBody>
    </xdr:sp>
    <xdr:clientData/>
  </xdr:twoCellAnchor>
  <xdr:twoCellAnchor editAs="absolute">
    <xdr:from>
      <xdr:col>23</xdr:col>
      <xdr:colOff>9525</xdr:colOff>
      <xdr:row>18</xdr:row>
      <xdr:rowOff>9525</xdr:rowOff>
    </xdr:from>
    <xdr:to>
      <xdr:col>24</xdr:col>
      <xdr:colOff>114300</xdr:colOff>
      <xdr:row>18</xdr:row>
      <xdr:rowOff>9525</xdr:rowOff>
    </xdr:to>
    <xdr:sp>
      <xdr:nvSpPr>
        <xdr:cNvPr id="55" name="Line 276"/>
        <xdr:cNvSpPr>
          <a:spLocks/>
        </xdr:cNvSpPr>
      </xdr:nvSpPr>
      <xdr:spPr>
        <a:xfrm flipH="1">
          <a:off x="8543925" y="29718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22</xdr:col>
      <xdr:colOff>238125</xdr:colOff>
      <xdr:row>16</xdr:row>
      <xdr:rowOff>85725</xdr:rowOff>
    </xdr:from>
    <xdr:to>
      <xdr:col>23</xdr:col>
      <xdr:colOff>9525</xdr:colOff>
      <xdr:row>18</xdr:row>
      <xdr:rowOff>0</xdr:rowOff>
    </xdr:to>
    <xdr:sp>
      <xdr:nvSpPr>
        <xdr:cNvPr id="56" name="Line 277"/>
        <xdr:cNvSpPr>
          <a:spLocks/>
        </xdr:cNvSpPr>
      </xdr:nvSpPr>
      <xdr:spPr>
        <a:xfrm flipH="1" flipV="1">
          <a:off x="8343900" y="2724150"/>
          <a:ext cx="2000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30</xdr:col>
      <xdr:colOff>114300</xdr:colOff>
      <xdr:row>16</xdr:row>
      <xdr:rowOff>85725</xdr:rowOff>
    </xdr:from>
    <xdr:to>
      <xdr:col>30</xdr:col>
      <xdr:colOff>257175</xdr:colOff>
      <xdr:row>17</xdr:row>
      <xdr:rowOff>0</xdr:rowOff>
    </xdr:to>
    <xdr:sp>
      <xdr:nvSpPr>
        <xdr:cNvPr id="57" name="AutoShape 278"/>
        <xdr:cNvSpPr>
          <a:spLocks noChangeAspect="1"/>
        </xdr:cNvSpPr>
      </xdr:nvSpPr>
      <xdr:spPr>
        <a:xfrm rot="10800000">
          <a:off x="12144375" y="2724150"/>
          <a:ext cx="142875" cy="762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38</xdr:col>
      <xdr:colOff>142875</xdr:colOff>
      <xdr:row>16</xdr:row>
      <xdr:rowOff>0</xdr:rowOff>
    </xdr:from>
    <xdr:to>
      <xdr:col>38</xdr:col>
      <xdr:colOff>333375</xdr:colOff>
      <xdr:row>17</xdr:row>
      <xdr:rowOff>0</xdr:rowOff>
    </xdr:to>
    <xdr:sp fLocksText="0" textlink="$AT$26">
      <xdr:nvSpPr>
        <xdr:cNvPr id="58" name="Text Box 279"/>
        <xdr:cNvSpPr txBox="1">
          <a:spLocks noChangeArrowheads="1"/>
        </xdr:cNvSpPr>
      </xdr:nvSpPr>
      <xdr:spPr>
        <a:xfrm>
          <a:off x="13515975" y="2638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fld id="{ef70eca4-0bd9-4086-b370-d857c62e552b}" type="TxLink">
            <a:rPr lang="en-US" cap="none" sz="900" b="0" i="0" u="none" baseline="0">
              <a:solidFill>
                <a:srgbClr val="000000"/>
              </a:solidFill>
            </a:rPr>
            <a:t>EL5</a:t>
          </a:fld>
        </a:p>
      </xdr:txBody>
    </xdr:sp>
    <xdr:clientData/>
  </xdr:twoCellAnchor>
  <xdr:twoCellAnchor editAs="absolute">
    <xdr:from>
      <xdr:col>29</xdr:col>
      <xdr:colOff>85725</xdr:colOff>
      <xdr:row>17</xdr:row>
      <xdr:rowOff>0</xdr:rowOff>
    </xdr:from>
    <xdr:to>
      <xdr:col>38</xdr:col>
      <xdr:colOff>400050</xdr:colOff>
      <xdr:row>17</xdr:row>
      <xdr:rowOff>0</xdr:rowOff>
    </xdr:to>
    <xdr:sp>
      <xdr:nvSpPr>
        <xdr:cNvPr id="59" name="Line 280"/>
        <xdr:cNvSpPr>
          <a:spLocks/>
        </xdr:cNvSpPr>
      </xdr:nvSpPr>
      <xdr:spPr>
        <a:xfrm flipH="1">
          <a:off x="11553825" y="2800350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30</xdr:col>
      <xdr:colOff>333375</xdr:colOff>
      <xdr:row>16</xdr:row>
      <xdr:rowOff>0</xdr:rowOff>
    </xdr:from>
    <xdr:to>
      <xdr:col>38</xdr:col>
      <xdr:colOff>38100</xdr:colOff>
      <xdr:row>17</xdr:row>
      <xdr:rowOff>0</xdr:rowOff>
    </xdr:to>
    <xdr:sp>
      <xdr:nvSpPr>
        <xdr:cNvPr id="60" name="Text Box 281"/>
        <xdr:cNvSpPr txBox="1">
          <a:spLocks noChangeArrowheads="1"/>
        </xdr:cNvSpPr>
      </xdr:nvSpPr>
      <xdr:spPr>
        <a:xfrm>
          <a:off x="12363450" y="2638425"/>
          <a:ext cx="1047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本管位置取付管底高</a:t>
          </a:r>
        </a:p>
      </xdr:txBody>
    </xdr:sp>
    <xdr:clientData/>
  </xdr:twoCellAnchor>
  <xdr:twoCellAnchor editAs="absolute">
    <xdr:from>
      <xdr:col>24</xdr:col>
      <xdr:colOff>190500</xdr:colOff>
      <xdr:row>13</xdr:row>
      <xdr:rowOff>66675</xdr:rowOff>
    </xdr:from>
    <xdr:to>
      <xdr:col>24</xdr:col>
      <xdr:colOff>190500</xdr:colOff>
      <xdr:row>15</xdr:row>
      <xdr:rowOff>28575</xdr:rowOff>
    </xdr:to>
    <xdr:sp>
      <xdr:nvSpPr>
        <xdr:cNvPr id="61" name="Line 282"/>
        <xdr:cNvSpPr>
          <a:spLocks/>
        </xdr:cNvSpPr>
      </xdr:nvSpPr>
      <xdr:spPr>
        <a:xfrm>
          <a:off x="9153525" y="22193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24</xdr:col>
      <xdr:colOff>266700</xdr:colOff>
      <xdr:row>13</xdr:row>
      <xdr:rowOff>123825</xdr:rowOff>
    </xdr:from>
    <xdr:to>
      <xdr:col>24</xdr:col>
      <xdr:colOff>400050</xdr:colOff>
      <xdr:row>14</xdr:row>
      <xdr:rowOff>123825</xdr:rowOff>
    </xdr:to>
    <xdr:sp fLocksText="0" textlink="$X$26">
      <xdr:nvSpPr>
        <xdr:cNvPr id="62" name="Text Box 283"/>
        <xdr:cNvSpPr txBox="1">
          <a:spLocks noChangeArrowheads="1"/>
        </xdr:cNvSpPr>
      </xdr:nvSpPr>
      <xdr:spPr>
        <a:xfrm>
          <a:off x="9229725" y="227647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fld id="{464bdaed-3a2a-4590-97a8-ab6934113cde}" type="TxLink">
            <a:rPr lang="en-US" cap="none" sz="900" b="0" i="0" u="none" baseline="0">
              <a:solidFill>
                <a:srgbClr val="000000"/>
              </a:solidFill>
            </a:rPr>
            <a:t>h4</a:t>
          </a:fld>
        </a:p>
      </xdr:txBody>
    </xdr:sp>
    <xdr:clientData/>
  </xdr:twoCellAnchor>
  <xdr:twoCellAnchor editAs="absolute">
    <xdr:from>
      <xdr:col>24</xdr:col>
      <xdr:colOff>47625</xdr:colOff>
      <xdr:row>11</xdr:row>
      <xdr:rowOff>66675</xdr:rowOff>
    </xdr:from>
    <xdr:to>
      <xdr:col>24</xdr:col>
      <xdr:colOff>47625</xdr:colOff>
      <xdr:row>15</xdr:row>
      <xdr:rowOff>57150</xdr:rowOff>
    </xdr:to>
    <xdr:sp>
      <xdr:nvSpPr>
        <xdr:cNvPr id="63" name="Line 284"/>
        <xdr:cNvSpPr>
          <a:spLocks/>
        </xdr:cNvSpPr>
      </xdr:nvSpPr>
      <xdr:spPr>
        <a:xfrm>
          <a:off x="9010650" y="189547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23</xdr:col>
      <xdr:colOff>285750</xdr:colOff>
      <xdr:row>13</xdr:row>
      <xdr:rowOff>0</xdr:rowOff>
    </xdr:from>
    <xdr:to>
      <xdr:col>24</xdr:col>
      <xdr:colOff>9525</xdr:colOff>
      <xdr:row>14</xdr:row>
      <xdr:rowOff>9525</xdr:rowOff>
    </xdr:to>
    <xdr:sp fLocksText="0" textlink="$T$26">
      <xdr:nvSpPr>
        <xdr:cNvPr id="64" name="Text Box 285"/>
        <xdr:cNvSpPr txBox="1">
          <a:spLocks noChangeArrowheads="1"/>
        </xdr:cNvSpPr>
      </xdr:nvSpPr>
      <xdr:spPr>
        <a:xfrm>
          <a:off x="8820150" y="21526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fld id="{78268812-0ebd-4ddb-a265-9c30b5ef24f3}" type="TxLink"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h3</a:t>
          </a:fld>
        </a:p>
      </xdr:txBody>
    </xdr:sp>
    <xdr:clientData/>
  </xdr:twoCellAnchor>
  <xdr:twoCellAnchor editAs="absolute">
    <xdr:from>
      <xdr:col>26</xdr:col>
      <xdr:colOff>123825</xdr:colOff>
      <xdr:row>14</xdr:row>
      <xdr:rowOff>19050</xdr:rowOff>
    </xdr:from>
    <xdr:to>
      <xdr:col>26</xdr:col>
      <xdr:colOff>123825</xdr:colOff>
      <xdr:row>15</xdr:row>
      <xdr:rowOff>76200</xdr:rowOff>
    </xdr:to>
    <xdr:sp>
      <xdr:nvSpPr>
        <xdr:cNvPr id="65" name="Line 286"/>
        <xdr:cNvSpPr>
          <a:spLocks/>
        </xdr:cNvSpPr>
      </xdr:nvSpPr>
      <xdr:spPr>
        <a:xfrm>
          <a:off x="10344150" y="23336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26</xdr:col>
      <xdr:colOff>361950</xdr:colOff>
      <xdr:row>14</xdr:row>
      <xdr:rowOff>57150</xdr:rowOff>
    </xdr:from>
    <xdr:to>
      <xdr:col>27</xdr:col>
      <xdr:colOff>104775</xdr:colOff>
      <xdr:row>15</xdr:row>
      <xdr:rowOff>57150</xdr:rowOff>
    </xdr:to>
    <xdr:sp fLocksText="0" textlink="$AL$26">
      <xdr:nvSpPr>
        <xdr:cNvPr id="66" name="Text Box 287"/>
        <xdr:cNvSpPr txBox="1">
          <a:spLocks noChangeArrowheads="1"/>
        </xdr:cNvSpPr>
      </xdr:nvSpPr>
      <xdr:spPr>
        <a:xfrm>
          <a:off x="10582275" y="237172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fld id="{e8837258-b9ca-4be9-841f-92738c7ae8e0}" type="TxLink">
            <a:rPr lang="en-US" cap="none" sz="900" b="0" i="0" u="none" baseline="0">
              <a:solidFill>
                <a:srgbClr val="000000"/>
              </a:solidFill>
            </a:rPr>
            <a:t>h5</a:t>
          </a:fld>
        </a:p>
      </xdr:txBody>
    </xdr:sp>
    <xdr:clientData/>
  </xdr:twoCellAnchor>
  <xdr:twoCellAnchor editAs="absolute">
    <xdr:from>
      <xdr:col>27</xdr:col>
      <xdr:colOff>247650</xdr:colOff>
      <xdr:row>16</xdr:row>
      <xdr:rowOff>133350</xdr:rowOff>
    </xdr:from>
    <xdr:to>
      <xdr:col>27</xdr:col>
      <xdr:colOff>247650</xdr:colOff>
      <xdr:row>17</xdr:row>
      <xdr:rowOff>123825</xdr:rowOff>
    </xdr:to>
    <xdr:sp>
      <xdr:nvSpPr>
        <xdr:cNvPr id="67" name="Line 288"/>
        <xdr:cNvSpPr>
          <a:spLocks/>
        </xdr:cNvSpPr>
      </xdr:nvSpPr>
      <xdr:spPr>
        <a:xfrm>
          <a:off x="10858500" y="2771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26</xdr:col>
      <xdr:colOff>333375</xdr:colOff>
      <xdr:row>17</xdr:row>
      <xdr:rowOff>0</xdr:rowOff>
    </xdr:from>
    <xdr:to>
      <xdr:col>27</xdr:col>
      <xdr:colOff>76200</xdr:colOff>
      <xdr:row>18</xdr:row>
      <xdr:rowOff>0</xdr:rowOff>
    </xdr:to>
    <xdr:sp fLocksText="0" textlink="$AL$26">
      <xdr:nvSpPr>
        <xdr:cNvPr id="68" name="Text Box 289"/>
        <xdr:cNvSpPr txBox="1">
          <a:spLocks noChangeArrowheads="1"/>
        </xdr:cNvSpPr>
      </xdr:nvSpPr>
      <xdr:spPr>
        <a:xfrm>
          <a:off x="10553700" y="28003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fld id="{bd0710d9-739f-43b2-a078-5c3566ece2c4}" type="TxLink">
            <a:rPr lang="en-US" cap="none" sz="900" b="0" i="0" u="none" baseline="0">
              <a:solidFill>
                <a:srgbClr val="000000"/>
              </a:solidFill>
            </a:rPr>
            <a:t>h5</a:t>
          </a:fld>
        </a:p>
      </xdr:txBody>
    </xdr:sp>
    <xdr:clientData/>
  </xdr:twoCellAnchor>
  <xdr:twoCellAnchor editAs="absolute">
    <xdr:from>
      <xdr:col>24</xdr:col>
      <xdr:colOff>552450</xdr:colOff>
      <xdr:row>14</xdr:row>
      <xdr:rowOff>66675</xdr:rowOff>
    </xdr:from>
    <xdr:to>
      <xdr:col>25</xdr:col>
      <xdr:colOff>180975</xdr:colOff>
      <xdr:row>15</xdr:row>
      <xdr:rowOff>66675</xdr:rowOff>
    </xdr:to>
    <xdr:sp>
      <xdr:nvSpPr>
        <xdr:cNvPr id="69" name="Text Box 290"/>
        <xdr:cNvSpPr txBox="1">
          <a:spLocks noChangeArrowheads="1"/>
        </xdr:cNvSpPr>
      </xdr:nvSpPr>
      <xdr:spPr>
        <a:xfrm>
          <a:off x="9515475" y="2381250"/>
          <a:ext cx="533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勾配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</a:p>
      </xdr:txBody>
    </xdr:sp>
    <xdr:clientData/>
  </xdr:twoCellAnchor>
  <xdr:twoCellAnchor editAs="absolute">
    <xdr:from>
      <xdr:col>24</xdr:col>
      <xdr:colOff>819150</xdr:colOff>
      <xdr:row>14</xdr:row>
      <xdr:rowOff>57150</xdr:rowOff>
    </xdr:from>
    <xdr:to>
      <xdr:col>25</xdr:col>
      <xdr:colOff>19050</xdr:colOff>
      <xdr:row>15</xdr:row>
      <xdr:rowOff>66675</xdr:rowOff>
    </xdr:to>
    <xdr:sp fLocksText="0" textlink="$AP$26">
      <xdr:nvSpPr>
        <xdr:cNvPr id="70" name="Text Box 291"/>
        <xdr:cNvSpPr txBox="1">
          <a:spLocks noChangeArrowheads="1"/>
        </xdr:cNvSpPr>
      </xdr:nvSpPr>
      <xdr:spPr>
        <a:xfrm>
          <a:off x="9782175" y="237172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fld id="{eb11383e-9bf9-4a02-b334-a0a91780d15d}" type="TxLink"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ib</a:t>
          </a:fld>
        </a:p>
      </xdr:txBody>
    </xdr:sp>
    <xdr:clientData/>
  </xdr:twoCellAnchor>
  <xdr:twoCellAnchor editAs="absolute">
    <xdr:from>
      <xdr:col>25</xdr:col>
      <xdr:colOff>38100</xdr:colOff>
      <xdr:row>3</xdr:row>
      <xdr:rowOff>76200</xdr:rowOff>
    </xdr:from>
    <xdr:to>
      <xdr:col>26</xdr:col>
      <xdr:colOff>47625</xdr:colOff>
      <xdr:row>4</xdr:row>
      <xdr:rowOff>76200</xdr:rowOff>
    </xdr:to>
    <xdr:sp>
      <xdr:nvSpPr>
        <xdr:cNvPr id="71" name="Text Box 293"/>
        <xdr:cNvSpPr txBox="1">
          <a:spLocks noChangeArrowheads="1"/>
        </xdr:cNvSpPr>
      </xdr:nvSpPr>
      <xdr:spPr>
        <a:xfrm>
          <a:off x="9906000" y="609600"/>
          <a:ext cx="361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取付管</a:t>
          </a:r>
        </a:p>
      </xdr:txBody>
    </xdr:sp>
    <xdr:clientData/>
  </xdr:twoCellAnchor>
  <xdr:twoCellAnchor editAs="absolute">
    <xdr:from>
      <xdr:col>26</xdr:col>
      <xdr:colOff>123825</xdr:colOff>
      <xdr:row>11</xdr:row>
      <xdr:rowOff>66675</xdr:rowOff>
    </xdr:from>
    <xdr:to>
      <xdr:col>26</xdr:col>
      <xdr:colOff>123825</xdr:colOff>
      <xdr:row>12</xdr:row>
      <xdr:rowOff>142875</xdr:rowOff>
    </xdr:to>
    <xdr:sp>
      <xdr:nvSpPr>
        <xdr:cNvPr id="72" name="Line 295"/>
        <xdr:cNvSpPr>
          <a:spLocks/>
        </xdr:cNvSpPr>
      </xdr:nvSpPr>
      <xdr:spPr>
        <a:xfrm>
          <a:off x="10344150" y="18954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26</xdr:col>
      <xdr:colOff>180975</xdr:colOff>
      <xdr:row>11</xdr:row>
      <xdr:rowOff>133350</xdr:rowOff>
    </xdr:from>
    <xdr:to>
      <xdr:col>27</xdr:col>
      <xdr:colOff>152400</xdr:colOff>
      <xdr:row>12</xdr:row>
      <xdr:rowOff>133350</xdr:rowOff>
    </xdr:to>
    <xdr:sp>
      <xdr:nvSpPr>
        <xdr:cNvPr id="73" name="Text Box 296"/>
        <xdr:cNvSpPr txBox="1">
          <a:spLocks noChangeArrowheads="1"/>
        </xdr:cNvSpPr>
      </xdr:nvSpPr>
      <xdr:spPr>
        <a:xfrm>
          <a:off x="10401300" y="1962150"/>
          <a:ext cx="361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土被り</a:t>
          </a:r>
        </a:p>
      </xdr:txBody>
    </xdr:sp>
    <xdr:clientData/>
  </xdr:twoCellAnchor>
  <xdr:twoCellAnchor editAs="absolute">
    <xdr:from>
      <xdr:col>26</xdr:col>
      <xdr:colOff>285750</xdr:colOff>
      <xdr:row>13</xdr:row>
      <xdr:rowOff>104775</xdr:rowOff>
    </xdr:from>
    <xdr:to>
      <xdr:col>27</xdr:col>
      <xdr:colOff>9525</xdr:colOff>
      <xdr:row>14</xdr:row>
      <xdr:rowOff>9525</xdr:rowOff>
    </xdr:to>
    <xdr:sp>
      <xdr:nvSpPr>
        <xdr:cNvPr id="74" name="AutoShape 297"/>
        <xdr:cNvSpPr>
          <a:spLocks noChangeAspect="1"/>
        </xdr:cNvSpPr>
      </xdr:nvSpPr>
      <xdr:spPr>
        <a:xfrm rot="10800000">
          <a:off x="10506075" y="2257425"/>
          <a:ext cx="114300" cy="666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27</xdr:col>
      <xdr:colOff>85725</xdr:colOff>
      <xdr:row>13</xdr:row>
      <xdr:rowOff>0</xdr:rowOff>
    </xdr:from>
    <xdr:to>
      <xdr:col>27</xdr:col>
      <xdr:colOff>333375</xdr:colOff>
      <xdr:row>14</xdr:row>
      <xdr:rowOff>0</xdr:rowOff>
    </xdr:to>
    <xdr:sp>
      <xdr:nvSpPr>
        <xdr:cNvPr id="75" name="Text Box 298"/>
        <xdr:cNvSpPr txBox="1">
          <a:spLocks noChangeArrowheads="1"/>
        </xdr:cNvSpPr>
      </xdr:nvSpPr>
      <xdr:spPr>
        <a:xfrm>
          <a:off x="10696575" y="2152650"/>
          <a:ext cx="247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標高</a:t>
          </a:r>
        </a:p>
      </xdr:txBody>
    </xdr:sp>
    <xdr:clientData/>
  </xdr:twoCellAnchor>
  <xdr:twoCellAnchor editAs="absolute">
    <xdr:from>
      <xdr:col>26</xdr:col>
      <xdr:colOff>114300</xdr:colOff>
      <xdr:row>14</xdr:row>
      <xdr:rowOff>19050</xdr:rowOff>
    </xdr:from>
    <xdr:to>
      <xdr:col>28</xdr:col>
      <xdr:colOff>0</xdr:colOff>
      <xdr:row>14</xdr:row>
      <xdr:rowOff>19050</xdr:rowOff>
    </xdr:to>
    <xdr:sp>
      <xdr:nvSpPr>
        <xdr:cNvPr id="76" name="Line 299"/>
        <xdr:cNvSpPr>
          <a:spLocks/>
        </xdr:cNvSpPr>
      </xdr:nvSpPr>
      <xdr:spPr>
        <a:xfrm flipH="1">
          <a:off x="10334625" y="233362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22</xdr:col>
      <xdr:colOff>57150</xdr:colOff>
      <xdr:row>3</xdr:row>
      <xdr:rowOff>76200</xdr:rowOff>
    </xdr:from>
    <xdr:to>
      <xdr:col>22</xdr:col>
      <xdr:colOff>419100</xdr:colOff>
      <xdr:row>4</xdr:row>
      <xdr:rowOff>76200</xdr:rowOff>
    </xdr:to>
    <xdr:sp>
      <xdr:nvSpPr>
        <xdr:cNvPr id="77" name="Text Box 301"/>
        <xdr:cNvSpPr txBox="1">
          <a:spLocks noChangeArrowheads="1"/>
        </xdr:cNvSpPr>
      </xdr:nvSpPr>
      <xdr:spPr>
        <a:xfrm>
          <a:off x="8162925" y="609600"/>
          <a:ext cx="361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公共桝</a:t>
          </a:r>
        </a:p>
      </xdr:txBody>
    </xdr:sp>
    <xdr:clientData/>
  </xdr:twoCellAnchor>
  <xdr:twoCellAnchor editAs="absolute">
    <xdr:from>
      <xdr:col>29</xdr:col>
      <xdr:colOff>171450</xdr:colOff>
      <xdr:row>3</xdr:row>
      <xdr:rowOff>85725</xdr:rowOff>
    </xdr:from>
    <xdr:to>
      <xdr:col>29</xdr:col>
      <xdr:colOff>419100</xdr:colOff>
      <xdr:row>4</xdr:row>
      <xdr:rowOff>85725</xdr:rowOff>
    </xdr:to>
    <xdr:sp>
      <xdr:nvSpPr>
        <xdr:cNvPr id="78" name="Text Box 302"/>
        <xdr:cNvSpPr txBox="1">
          <a:spLocks noChangeArrowheads="1"/>
        </xdr:cNvSpPr>
      </xdr:nvSpPr>
      <xdr:spPr>
        <a:xfrm>
          <a:off x="11639550" y="619125"/>
          <a:ext cx="247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本管</a:t>
          </a:r>
        </a:p>
      </xdr:txBody>
    </xdr:sp>
    <xdr:clientData/>
  </xdr:twoCellAnchor>
  <xdr:twoCellAnchor editAs="absolute">
    <xdr:from>
      <xdr:col>19</xdr:col>
      <xdr:colOff>361950</xdr:colOff>
      <xdr:row>10</xdr:row>
      <xdr:rowOff>66675</xdr:rowOff>
    </xdr:from>
    <xdr:to>
      <xdr:col>19</xdr:col>
      <xdr:colOff>361950</xdr:colOff>
      <xdr:row>15</xdr:row>
      <xdr:rowOff>133350</xdr:rowOff>
    </xdr:to>
    <xdr:sp>
      <xdr:nvSpPr>
        <xdr:cNvPr id="79" name="Line 320"/>
        <xdr:cNvSpPr>
          <a:spLocks/>
        </xdr:cNvSpPr>
      </xdr:nvSpPr>
      <xdr:spPr>
        <a:xfrm>
          <a:off x="7210425" y="173355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20</xdr:col>
      <xdr:colOff>142875</xdr:colOff>
      <xdr:row>14</xdr:row>
      <xdr:rowOff>133350</xdr:rowOff>
    </xdr:from>
    <xdr:to>
      <xdr:col>22</xdr:col>
      <xdr:colOff>104775</xdr:colOff>
      <xdr:row>14</xdr:row>
      <xdr:rowOff>133350</xdr:rowOff>
    </xdr:to>
    <xdr:sp>
      <xdr:nvSpPr>
        <xdr:cNvPr id="80" name="Line 321"/>
        <xdr:cNvSpPr>
          <a:spLocks/>
        </xdr:cNvSpPr>
      </xdr:nvSpPr>
      <xdr:spPr>
        <a:xfrm flipH="1">
          <a:off x="7391400" y="24479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19</xdr:col>
      <xdr:colOff>266700</xdr:colOff>
      <xdr:row>15</xdr:row>
      <xdr:rowOff>133350</xdr:rowOff>
    </xdr:from>
    <xdr:to>
      <xdr:col>22</xdr:col>
      <xdr:colOff>104775</xdr:colOff>
      <xdr:row>15</xdr:row>
      <xdr:rowOff>133350</xdr:rowOff>
    </xdr:to>
    <xdr:sp>
      <xdr:nvSpPr>
        <xdr:cNvPr id="81" name="Line 322"/>
        <xdr:cNvSpPr>
          <a:spLocks/>
        </xdr:cNvSpPr>
      </xdr:nvSpPr>
      <xdr:spPr>
        <a:xfrm flipH="1">
          <a:off x="7115175" y="260985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20</xdr:col>
      <xdr:colOff>200025</xdr:colOff>
      <xdr:row>14</xdr:row>
      <xdr:rowOff>133350</xdr:rowOff>
    </xdr:from>
    <xdr:to>
      <xdr:col>21</xdr:col>
      <xdr:colOff>419100</xdr:colOff>
      <xdr:row>15</xdr:row>
      <xdr:rowOff>133350</xdr:rowOff>
    </xdr:to>
    <xdr:sp>
      <xdr:nvSpPr>
        <xdr:cNvPr id="82" name="Text Box 323"/>
        <xdr:cNvSpPr txBox="1">
          <a:spLocks noChangeArrowheads="1"/>
        </xdr:cNvSpPr>
      </xdr:nvSpPr>
      <xdr:spPr>
        <a:xfrm>
          <a:off x="7448550" y="2447925"/>
          <a:ext cx="647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ます落差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h1</a:t>
          </a:r>
        </a:p>
      </xdr:txBody>
    </xdr:sp>
    <xdr:clientData/>
  </xdr:twoCellAnchor>
  <xdr:twoCellAnchor editAs="absolute">
    <xdr:from>
      <xdr:col>20</xdr:col>
      <xdr:colOff>171450</xdr:colOff>
      <xdr:row>14</xdr:row>
      <xdr:rowOff>123825</xdr:rowOff>
    </xdr:from>
    <xdr:to>
      <xdr:col>20</xdr:col>
      <xdr:colOff>171450</xdr:colOff>
      <xdr:row>15</xdr:row>
      <xdr:rowOff>142875</xdr:rowOff>
    </xdr:to>
    <xdr:sp>
      <xdr:nvSpPr>
        <xdr:cNvPr id="83" name="Line 324"/>
        <xdr:cNvSpPr>
          <a:spLocks/>
        </xdr:cNvSpPr>
      </xdr:nvSpPr>
      <xdr:spPr>
        <a:xfrm>
          <a:off x="7419975" y="2438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19</xdr:col>
      <xdr:colOff>171450</xdr:colOff>
      <xdr:row>11</xdr:row>
      <xdr:rowOff>38100</xdr:rowOff>
    </xdr:from>
    <xdr:to>
      <xdr:col>19</xdr:col>
      <xdr:colOff>304800</xdr:colOff>
      <xdr:row>12</xdr:row>
      <xdr:rowOff>38100</xdr:rowOff>
    </xdr:to>
    <xdr:sp fLocksText="0" textlink="$Q$26">
      <xdr:nvSpPr>
        <xdr:cNvPr id="84" name="Text Box 325"/>
        <xdr:cNvSpPr txBox="1">
          <a:spLocks noChangeArrowheads="1"/>
        </xdr:cNvSpPr>
      </xdr:nvSpPr>
      <xdr:spPr>
        <a:xfrm>
          <a:off x="7019925" y="18669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fld id="{ae425bb6-55b8-4891-a4e7-c8bc6786792b}" type="TxLink">
            <a:rPr lang="en-US" cap="none" sz="900" b="0" i="0" u="none" baseline="0">
              <a:solidFill>
                <a:srgbClr val="000000"/>
              </a:solidFill>
            </a:rPr>
            <a:t>H1</a:t>
          </a:fld>
        </a:p>
      </xdr:txBody>
    </xdr:sp>
    <xdr:clientData/>
  </xdr:twoCellAnchor>
  <xdr:twoCellAnchor editAs="absolute">
    <xdr:from>
      <xdr:col>19</xdr:col>
      <xdr:colOff>104775</xdr:colOff>
      <xdr:row>10</xdr:row>
      <xdr:rowOff>66675</xdr:rowOff>
    </xdr:from>
    <xdr:to>
      <xdr:col>19</xdr:col>
      <xdr:colOff>104775</xdr:colOff>
      <xdr:row>16</xdr:row>
      <xdr:rowOff>76200</xdr:rowOff>
    </xdr:to>
    <xdr:sp>
      <xdr:nvSpPr>
        <xdr:cNvPr id="85" name="Line 326"/>
        <xdr:cNvSpPr>
          <a:spLocks/>
        </xdr:cNvSpPr>
      </xdr:nvSpPr>
      <xdr:spPr>
        <a:xfrm>
          <a:off x="6953250" y="1733550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19</xdr:col>
      <xdr:colOff>76200</xdr:colOff>
      <xdr:row>16</xdr:row>
      <xdr:rowOff>66675</xdr:rowOff>
    </xdr:from>
    <xdr:to>
      <xdr:col>22</xdr:col>
      <xdr:colOff>104775</xdr:colOff>
      <xdr:row>16</xdr:row>
      <xdr:rowOff>66675</xdr:rowOff>
    </xdr:to>
    <xdr:sp>
      <xdr:nvSpPr>
        <xdr:cNvPr id="86" name="Line 327"/>
        <xdr:cNvSpPr>
          <a:spLocks/>
        </xdr:cNvSpPr>
      </xdr:nvSpPr>
      <xdr:spPr>
        <a:xfrm flipH="1">
          <a:off x="6924675" y="27051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18</xdr:col>
      <xdr:colOff>342900</xdr:colOff>
      <xdr:row>11</xdr:row>
      <xdr:rowOff>104775</xdr:rowOff>
    </xdr:from>
    <xdr:to>
      <xdr:col>19</xdr:col>
      <xdr:colOff>47625</xdr:colOff>
      <xdr:row>12</xdr:row>
      <xdr:rowOff>104775</xdr:rowOff>
    </xdr:to>
    <xdr:sp fLocksText="0" textlink="$AV$26">
      <xdr:nvSpPr>
        <xdr:cNvPr id="87" name="Text Box 328"/>
        <xdr:cNvSpPr txBox="1">
          <a:spLocks noChangeArrowheads="1"/>
        </xdr:cNvSpPr>
      </xdr:nvSpPr>
      <xdr:spPr>
        <a:xfrm>
          <a:off x="6762750" y="193357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fld id="{5c38a11c-a70e-4230-a3b7-cc7f3aeebfcb}" type="TxLink">
            <a:rPr lang="en-US" cap="none" sz="900" b="0" i="0" u="none" baseline="0">
              <a:solidFill>
                <a:srgbClr val="000000"/>
              </a:solidFill>
            </a:rPr>
            <a:t>H3</a:t>
          </a:fld>
        </a:p>
      </xdr:txBody>
    </xdr:sp>
    <xdr:clientData/>
  </xdr:twoCellAnchor>
  <xdr:twoCellAnchor editAs="absolute">
    <xdr:from>
      <xdr:col>19</xdr:col>
      <xdr:colOff>171450</xdr:colOff>
      <xdr:row>12</xdr:row>
      <xdr:rowOff>28575</xdr:rowOff>
    </xdr:from>
    <xdr:to>
      <xdr:col>19</xdr:col>
      <xdr:colOff>304800</xdr:colOff>
      <xdr:row>13</xdr:row>
      <xdr:rowOff>28575</xdr:rowOff>
    </xdr:to>
    <xdr:sp fLocksText="0" textlink="$AU$26">
      <xdr:nvSpPr>
        <xdr:cNvPr id="88" name="Text Box 330"/>
        <xdr:cNvSpPr txBox="1">
          <a:spLocks noChangeArrowheads="1"/>
        </xdr:cNvSpPr>
      </xdr:nvSpPr>
      <xdr:spPr>
        <a:xfrm>
          <a:off x="7019925" y="20193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fld id="{2d07851b-4da8-4136-92b7-36f775b9aa6a}" type="TxLink">
            <a:rPr lang="en-US" cap="none" sz="900" b="0" i="0" u="none" baseline="0">
              <a:solidFill>
                <a:srgbClr val="000000"/>
              </a:solidFill>
            </a:rPr>
            <a:t>H2</a:t>
          </a:fld>
        </a:p>
      </xdr:txBody>
    </xdr:sp>
    <xdr:clientData/>
  </xdr:twoCellAnchor>
  <xdr:twoCellAnchor editAs="absolute">
    <xdr:from>
      <xdr:col>30</xdr:col>
      <xdr:colOff>133350</xdr:colOff>
      <xdr:row>19</xdr:row>
      <xdr:rowOff>0</xdr:rowOff>
    </xdr:from>
    <xdr:to>
      <xdr:col>30</xdr:col>
      <xdr:colOff>266700</xdr:colOff>
      <xdr:row>19</xdr:row>
      <xdr:rowOff>66675</xdr:rowOff>
    </xdr:to>
    <xdr:sp>
      <xdr:nvSpPr>
        <xdr:cNvPr id="89" name="AutoShape 332"/>
        <xdr:cNvSpPr>
          <a:spLocks noChangeAspect="1"/>
        </xdr:cNvSpPr>
      </xdr:nvSpPr>
      <xdr:spPr>
        <a:xfrm rot="10800000">
          <a:off x="12163425" y="3124200"/>
          <a:ext cx="133350" cy="666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29</xdr:col>
      <xdr:colOff>304800</xdr:colOff>
      <xdr:row>19</xdr:row>
      <xdr:rowOff>66675</xdr:rowOff>
    </xdr:from>
    <xdr:to>
      <xdr:col>38</xdr:col>
      <xdr:colOff>219075</xdr:colOff>
      <xdr:row>19</xdr:row>
      <xdr:rowOff>66675</xdr:rowOff>
    </xdr:to>
    <xdr:sp>
      <xdr:nvSpPr>
        <xdr:cNvPr id="90" name="Line 333"/>
        <xdr:cNvSpPr>
          <a:spLocks/>
        </xdr:cNvSpPr>
      </xdr:nvSpPr>
      <xdr:spPr>
        <a:xfrm flipH="1">
          <a:off x="11772900" y="319087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30</xdr:col>
      <xdr:colOff>66675</xdr:colOff>
      <xdr:row>17</xdr:row>
      <xdr:rowOff>9525</xdr:rowOff>
    </xdr:from>
    <xdr:to>
      <xdr:col>30</xdr:col>
      <xdr:colOff>66675</xdr:colOff>
      <xdr:row>19</xdr:row>
      <xdr:rowOff>66675</xdr:rowOff>
    </xdr:to>
    <xdr:sp>
      <xdr:nvSpPr>
        <xdr:cNvPr id="91" name="Line 335"/>
        <xdr:cNvSpPr>
          <a:spLocks/>
        </xdr:cNvSpPr>
      </xdr:nvSpPr>
      <xdr:spPr>
        <a:xfrm>
          <a:off x="12096750" y="280987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30</xdr:col>
      <xdr:colOff>161925</xdr:colOff>
      <xdr:row>17</xdr:row>
      <xdr:rowOff>47625</xdr:rowOff>
    </xdr:from>
    <xdr:to>
      <xdr:col>37</xdr:col>
      <xdr:colOff>352425</xdr:colOff>
      <xdr:row>18</xdr:row>
      <xdr:rowOff>76200</xdr:rowOff>
    </xdr:to>
    <xdr:sp>
      <xdr:nvSpPr>
        <xdr:cNvPr id="92" name="Text Box 336"/>
        <xdr:cNvSpPr txBox="1">
          <a:spLocks noChangeArrowheads="1"/>
        </xdr:cNvSpPr>
      </xdr:nvSpPr>
      <xdr:spPr>
        <a:xfrm>
          <a:off x="12192000" y="2847975"/>
          <a:ext cx="1047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本管との接続落差</a:t>
          </a:r>
          <a:r>
            <a:rPr lang="en-US" cap="none" sz="900" b="0" i="0" u="none" baseline="3000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※1</a:t>
          </a:r>
        </a:p>
      </xdr:txBody>
    </xdr:sp>
    <xdr:clientData/>
  </xdr:twoCellAnchor>
  <xdr:oneCellAnchor>
    <xdr:from>
      <xdr:col>39</xdr:col>
      <xdr:colOff>152400</xdr:colOff>
      <xdr:row>15</xdr:row>
      <xdr:rowOff>19050</xdr:rowOff>
    </xdr:from>
    <xdr:ext cx="2305050" cy="695325"/>
    <xdr:sp>
      <xdr:nvSpPr>
        <xdr:cNvPr id="93" name="Text Box 384"/>
        <xdr:cNvSpPr txBox="1">
          <a:spLocks noChangeArrowheads="1"/>
        </xdr:cNvSpPr>
      </xdr:nvSpPr>
      <xdr:spPr>
        <a:xfrm>
          <a:off x="13935075" y="2495550"/>
          <a:ext cx="2305050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※1 h6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【本管との接続落差】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人孔接続部：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5cm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（管頂接合）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管接続部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：本管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200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＋取付管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150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＝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300mm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本管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150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＋取付管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＝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200mm</a:t>
          </a:r>
        </a:p>
      </xdr:txBody>
    </xdr:sp>
    <xdr:clientData/>
  </xdr:oneCellAnchor>
  <xdr:twoCellAnchor editAs="absolute">
    <xdr:from>
      <xdr:col>24</xdr:col>
      <xdr:colOff>771525</xdr:colOff>
      <xdr:row>10</xdr:row>
      <xdr:rowOff>38100</xdr:rowOff>
    </xdr:from>
    <xdr:to>
      <xdr:col>25</xdr:col>
      <xdr:colOff>228600</xdr:colOff>
      <xdr:row>11</xdr:row>
      <xdr:rowOff>38100</xdr:rowOff>
    </xdr:to>
    <xdr:sp>
      <xdr:nvSpPr>
        <xdr:cNvPr id="94" name="Text Box 393"/>
        <xdr:cNvSpPr txBox="1">
          <a:spLocks noChangeArrowheads="1"/>
        </xdr:cNvSpPr>
      </xdr:nvSpPr>
      <xdr:spPr>
        <a:xfrm>
          <a:off x="9734550" y="1704975"/>
          <a:ext cx="361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道路高</a:t>
          </a:r>
        </a:p>
      </xdr:txBody>
    </xdr:sp>
    <xdr:clientData/>
  </xdr:twoCellAnchor>
  <xdr:twoCellAnchor editAs="absolute">
    <xdr:from>
      <xdr:col>18</xdr:col>
      <xdr:colOff>390525</xdr:colOff>
      <xdr:row>9</xdr:row>
      <xdr:rowOff>47625</xdr:rowOff>
    </xdr:from>
    <xdr:to>
      <xdr:col>21</xdr:col>
      <xdr:colOff>66675</xdr:colOff>
      <xdr:row>10</xdr:row>
      <xdr:rowOff>47625</xdr:rowOff>
    </xdr:to>
    <xdr:sp>
      <xdr:nvSpPr>
        <xdr:cNvPr id="95" name="Text Box 394"/>
        <xdr:cNvSpPr txBox="1">
          <a:spLocks noChangeArrowheads="1"/>
        </xdr:cNvSpPr>
      </xdr:nvSpPr>
      <xdr:spPr>
        <a:xfrm>
          <a:off x="6810375" y="1552575"/>
          <a:ext cx="9334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公共桝位置地盤高</a:t>
          </a:r>
        </a:p>
      </xdr:txBody>
    </xdr:sp>
    <xdr:clientData/>
  </xdr:twoCellAnchor>
  <xdr:twoCellAnchor editAs="absolute">
    <xdr:from>
      <xdr:col>11</xdr:col>
      <xdr:colOff>66675</xdr:colOff>
      <xdr:row>9</xdr:row>
      <xdr:rowOff>47625</xdr:rowOff>
    </xdr:from>
    <xdr:to>
      <xdr:col>12</xdr:col>
      <xdr:colOff>304800</xdr:colOff>
      <xdr:row>10</xdr:row>
      <xdr:rowOff>47625</xdr:rowOff>
    </xdr:to>
    <xdr:sp>
      <xdr:nvSpPr>
        <xdr:cNvPr id="96" name="Text Box 395"/>
        <xdr:cNvSpPr txBox="1">
          <a:spLocks noChangeArrowheads="1"/>
        </xdr:cNvSpPr>
      </xdr:nvSpPr>
      <xdr:spPr>
        <a:xfrm>
          <a:off x="3810000" y="1552575"/>
          <a:ext cx="5905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宅地地盤高</a:t>
          </a:r>
        </a:p>
      </xdr:txBody>
    </xdr:sp>
    <xdr:clientData/>
  </xdr:twoCellAnchor>
  <xdr:twoCellAnchor>
    <xdr:from>
      <xdr:col>110</xdr:col>
      <xdr:colOff>19050</xdr:colOff>
      <xdr:row>16</xdr:row>
      <xdr:rowOff>0</xdr:rowOff>
    </xdr:from>
    <xdr:to>
      <xdr:col>116</xdr:col>
      <xdr:colOff>38100</xdr:colOff>
      <xdr:row>19</xdr:row>
      <xdr:rowOff>19050</xdr:rowOff>
    </xdr:to>
    <xdr:sp>
      <xdr:nvSpPr>
        <xdr:cNvPr id="97" name="Text Box 331"/>
        <xdr:cNvSpPr txBox="1">
          <a:spLocks noChangeArrowheads="1"/>
        </xdr:cNvSpPr>
      </xdr:nvSpPr>
      <xdr:spPr>
        <a:xfrm>
          <a:off x="48929925" y="2638425"/>
          <a:ext cx="23241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：宅内側での必要桝深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：宅内側での必要桝深（最低桝深を考慮）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：取付管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埋設物）を考慮した桝深</a:t>
          </a:r>
        </a:p>
      </xdr:txBody>
    </xdr:sp>
    <xdr:clientData/>
  </xdr:twoCellAnchor>
  <xdr:twoCellAnchor>
    <xdr:from>
      <xdr:col>118</xdr:col>
      <xdr:colOff>219075</xdr:colOff>
      <xdr:row>9</xdr:row>
      <xdr:rowOff>123825</xdr:rowOff>
    </xdr:from>
    <xdr:to>
      <xdr:col>118</xdr:col>
      <xdr:colOff>219075</xdr:colOff>
      <xdr:row>19</xdr:row>
      <xdr:rowOff>47625</xdr:rowOff>
    </xdr:to>
    <xdr:sp>
      <xdr:nvSpPr>
        <xdr:cNvPr id="98" name="Line 226"/>
        <xdr:cNvSpPr>
          <a:spLocks/>
        </xdr:cNvSpPr>
      </xdr:nvSpPr>
      <xdr:spPr>
        <a:xfrm>
          <a:off x="52406550" y="1628775"/>
          <a:ext cx="0" cy="154305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19050</xdr:colOff>
      <xdr:row>18</xdr:row>
      <xdr:rowOff>38100</xdr:rowOff>
    </xdr:from>
    <xdr:to>
      <xdr:col>122</xdr:col>
      <xdr:colOff>57150</xdr:colOff>
      <xdr:row>19</xdr:row>
      <xdr:rowOff>47625</xdr:rowOff>
    </xdr:to>
    <xdr:sp>
      <xdr:nvSpPr>
        <xdr:cNvPr id="99" name="Text Box 334"/>
        <xdr:cNvSpPr txBox="1">
          <a:spLocks noChangeArrowheads="1"/>
        </xdr:cNvSpPr>
      </xdr:nvSpPr>
      <xdr:spPr>
        <a:xfrm>
          <a:off x="53073300" y="3000375"/>
          <a:ext cx="895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本管最低必要高</a:t>
          </a:r>
        </a:p>
      </xdr:txBody>
    </xdr:sp>
    <xdr:clientData/>
  </xdr:twoCellAnchor>
  <xdr:twoCellAnchor>
    <xdr:from>
      <xdr:col>98</xdr:col>
      <xdr:colOff>285750</xdr:colOff>
      <xdr:row>8</xdr:row>
      <xdr:rowOff>95250</xdr:rowOff>
    </xdr:from>
    <xdr:to>
      <xdr:col>111</xdr:col>
      <xdr:colOff>142875</xdr:colOff>
      <xdr:row>8</xdr:row>
      <xdr:rowOff>95250</xdr:rowOff>
    </xdr:to>
    <xdr:sp>
      <xdr:nvSpPr>
        <xdr:cNvPr id="100" name="Line 520"/>
        <xdr:cNvSpPr>
          <a:spLocks/>
        </xdr:cNvSpPr>
      </xdr:nvSpPr>
      <xdr:spPr>
        <a:xfrm>
          <a:off x="43653075" y="1438275"/>
          <a:ext cx="582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142875</xdr:colOff>
      <xdr:row>8</xdr:row>
      <xdr:rowOff>95250</xdr:rowOff>
    </xdr:from>
    <xdr:to>
      <xdr:col>111</xdr:col>
      <xdr:colOff>142875</xdr:colOff>
      <xdr:row>9</xdr:row>
      <xdr:rowOff>95250</xdr:rowOff>
    </xdr:to>
    <xdr:sp>
      <xdr:nvSpPr>
        <xdr:cNvPr id="101" name="Line 521"/>
        <xdr:cNvSpPr>
          <a:spLocks/>
        </xdr:cNvSpPr>
      </xdr:nvSpPr>
      <xdr:spPr>
        <a:xfrm>
          <a:off x="49482375" y="14382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142875</xdr:colOff>
      <xdr:row>9</xdr:row>
      <xdr:rowOff>95250</xdr:rowOff>
    </xdr:from>
    <xdr:to>
      <xdr:col>120</xdr:col>
      <xdr:colOff>104775</xdr:colOff>
      <xdr:row>9</xdr:row>
      <xdr:rowOff>95250</xdr:rowOff>
    </xdr:to>
    <xdr:sp>
      <xdr:nvSpPr>
        <xdr:cNvPr id="102" name="Line 522"/>
        <xdr:cNvSpPr>
          <a:spLocks/>
        </xdr:cNvSpPr>
      </xdr:nvSpPr>
      <xdr:spPr>
        <a:xfrm>
          <a:off x="49482375" y="1600200"/>
          <a:ext cx="3676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219075</xdr:colOff>
      <xdr:row>9</xdr:row>
      <xdr:rowOff>95250</xdr:rowOff>
    </xdr:from>
    <xdr:to>
      <xdr:col>112</xdr:col>
      <xdr:colOff>228600</xdr:colOff>
      <xdr:row>11</xdr:row>
      <xdr:rowOff>95250</xdr:rowOff>
    </xdr:to>
    <xdr:sp>
      <xdr:nvSpPr>
        <xdr:cNvPr id="103" name="Rectangle 523"/>
        <xdr:cNvSpPr>
          <a:spLocks/>
        </xdr:cNvSpPr>
      </xdr:nvSpPr>
      <xdr:spPr>
        <a:xfrm>
          <a:off x="49558575" y="1600200"/>
          <a:ext cx="4381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238125</xdr:colOff>
      <xdr:row>8</xdr:row>
      <xdr:rowOff>95250</xdr:rowOff>
    </xdr:from>
    <xdr:to>
      <xdr:col>110</xdr:col>
      <xdr:colOff>57150</xdr:colOff>
      <xdr:row>15</xdr:row>
      <xdr:rowOff>47625</xdr:rowOff>
    </xdr:to>
    <xdr:sp>
      <xdr:nvSpPr>
        <xdr:cNvPr id="104" name="Rectangle 524"/>
        <xdr:cNvSpPr>
          <a:spLocks/>
        </xdr:cNvSpPr>
      </xdr:nvSpPr>
      <xdr:spPr>
        <a:xfrm>
          <a:off x="48615600" y="1438275"/>
          <a:ext cx="352425" cy="10858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133350</xdr:colOff>
      <xdr:row>8</xdr:row>
      <xdr:rowOff>95250</xdr:rowOff>
    </xdr:from>
    <xdr:to>
      <xdr:col>100</xdr:col>
      <xdr:colOff>400050</xdr:colOff>
      <xdr:row>11</xdr:row>
      <xdr:rowOff>95250</xdr:rowOff>
    </xdr:to>
    <xdr:sp>
      <xdr:nvSpPr>
        <xdr:cNvPr id="105" name="Rectangle 525"/>
        <xdr:cNvSpPr>
          <a:spLocks/>
        </xdr:cNvSpPr>
      </xdr:nvSpPr>
      <xdr:spPr>
        <a:xfrm>
          <a:off x="44357925" y="1438275"/>
          <a:ext cx="266700" cy="485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400050</xdr:colOff>
      <xdr:row>10</xdr:row>
      <xdr:rowOff>142875</xdr:rowOff>
    </xdr:from>
    <xdr:to>
      <xdr:col>109</xdr:col>
      <xdr:colOff>238125</xdr:colOff>
      <xdr:row>12</xdr:row>
      <xdr:rowOff>114300</xdr:rowOff>
    </xdr:to>
    <xdr:sp>
      <xdr:nvSpPr>
        <xdr:cNvPr id="106" name="Line 526"/>
        <xdr:cNvSpPr>
          <a:spLocks/>
        </xdr:cNvSpPr>
      </xdr:nvSpPr>
      <xdr:spPr>
        <a:xfrm>
          <a:off x="44624625" y="1809750"/>
          <a:ext cx="3990975" cy="2952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371475</xdr:colOff>
      <xdr:row>5</xdr:row>
      <xdr:rowOff>95250</xdr:rowOff>
    </xdr:from>
    <xdr:to>
      <xdr:col>101</xdr:col>
      <xdr:colOff>371475</xdr:colOff>
      <xdr:row>8</xdr:row>
      <xdr:rowOff>95250</xdr:rowOff>
    </xdr:to>
    <xdr:sp>
      <xdr:nvSpPr>
        <xdr:cNvPr id="107" name="Line 527"/>
        <xdr:cNvSpPr>
          <a:spLocks/>
        </xdr:cNvSpPr>
      </xdr:nvSpPr>
      <xdr:spPr>
        <a:xfrm>
          <a:off x="45024675" y="9525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38100</xdr:colOff>
      <xdr:row>5</xdr:row>
      <xdr:rowOff>95250</xdr:rowOff>
    </xdr:from>
    <xdr:to>
      <xdr:col>105</xdr:col>
      <xdr:colOff>38100</xdr:colOff>
      <xdr:row>8</xdr:row>
      <xdr:rowOff>95250</xdr:rowOff>
    </xdr:to>
    <xdr:sp>
      <xdr:nvSpPr>
        <xdr:cNvPr id="108" name="Line 528"/>
        <xdr:cNvSpPr>
          <a:spLocks/>
        </xdr:cNvSpPr>
      </xdr:nvSpPr>
      <xdr:spPr>
        <a:xfrm>
          <a:off x="46672500" y="9525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209550</xdr:colOff>
      <xdr:row>4</xdr:row>
      <xdr:rowOff>28575</xdr:rowOff>
    </xdr:from>
    <xdr:to>
      <xdr:col>103</xdr:col>
      <xdr:colOff>276225</xdr:colOff>
      <xdr:row>6</xdr:row>
      <xdr:rowOff>0</xdr:rowOff>
    </xdr:to>
    <xdr:sp>
      <xdr:nvSpPr>
        <xdr:cNvPr id="109" name="Line 529"/>
        <xdr:cNvSpPr>
          <a:spLocks/>
        </xdr:cNvSpPr>
      </xdr:nvSpPr>
      <xdr:spPr>
        <a:xfrm flipV="1">
          <a:off x="44862750" y="723900"/>
          <a:ext cx="9620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276225</xdr:colOff>
      <xdr:row>4</xdr:row>
      <xdr:rowOff>28575</xdr:rowOff>
    </xdr:from>
    <xdr:to>
      <xdr:col>105</xdr:col>
      <xdr:colOff>247650</xdr:colOff>
      <xdr:row>6</xdr:row>
      <xdr:rowOff>0</xdr:rowOff>
    </xdr:to>
    <xdr:sp>
      <xdr:nvSpPr>
        <xdr:cNvPr id="110" name="Line 530"/>
        <xdr:cNvSpPr>
          <a:spLocks/>
        </xdr:cNvSpPr>
      </xdr:nvSpPr>
      <xdr:spPr>
        <a:xfrm>
          <a:off x="45824775" y="723900"/>
          <a:ext cx="10572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57150</xdr:colOff>
      <xdr:row>13</xdr:row>
      <xdr:rowOff>142875</xdr:rowOff>
    </xdr:from>
    <xdr:to>
      <xdr:col>118</xdr:col>
      <xdr:colOff>219075</xdr:colOff>
      <xdr:row>14</xdr:row>
      <xdr:rowOff>95250</xdr:rowOff>
    </xdr:to>
    <xdr:sp>
      <xdr:nvSpPr>
        <xdr:cNvPr id="111" name="Line 531"/>
        <xdr:cNvSpPr>
          <a:spLocks/>
        </xdr:cNvSpPr>
      </xdr:nvSpPr>
      <xdr:spPr>
        <a:xfrm>
          <a:off x="48968025" y="2295525"/>
          <a:ext cx="3438525" cy="1143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57150</xdr:colOff>
      <xdr:row>15</xdr:row>
      <xdr:rowOff>28575</xdr:rowOff>
    </xdr:from>
    <xdr:to>
      <xdr:col>118</xdr:col>
      <xdr:colOff>219075</xdr:colOff>
      <xdr:row>15</xdr:row>
      <xdr:rowOff>152400</xdr:rowOff>
    </xdr:to>
    <xdr:sp>
      <xdr:nvSpPr>
        <xdr:cNvPr id="112" name="Line 532"/>
        <xdr:cNvSpPr>
          <a:spLocks/>
        </xdr:cNvSpPr>
      </xdr:nvSpPr>
      <xdr:spPr>
        <a:xfrm>
          <a:off x="48968025" y="2505075"/>
          <a:ext cx="3438525" cy="1238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28575</xdr:colOff>
      <xdr:row>17</xdr:row>
      <xdr:rowOff>0</xdr:rowOff>
    </xdr:from>
    <xdr:to>
      <xdr:col>118</xdr:col>
      <xdr:colOff>409575</xdr:colOff>
      <xdr:row>19</xdr:row>
      <xdr:rowOff>57150</xdr:rowOff>
    </xdr:to>
    <xdr:sp>
      <xdr:nvSpPr>
        <xdr:cNvPr id="113" name="Oval 533"/>
        <xdr:cNvSpPr>
          <a:spLocks/>
        </xdr:cNvSpPr>
      </xdr:nvSpPr>
      <xdr:spPr>
        <a:xfrm>
          <a:off x="52216050" y="2800350"/>
          <a:ext cx="381000" cy="381000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123825</xdr:colOff>
      <xdr:row>11</xdr:row>
      <xdr:rowOff>142875</xdr:rowOff>
    </xdr:from>
    <xdr:to>
      <xdr:col>115</xdr:col>
      <xdr:colOff>295275</xdr:colOff>
      <xdr:row>13</xdr:row>
      <xdr:rowOff>0</xdr:rowOff>
    </xdr:to>
    <xdr:sp>
      <xdr:nvSpPr>
        <xdr:cNvPr id="114" name="Oval 534"/>
        <xdr:cNvSpPr>
          <a:spLocks noChangeAspect="1"/>
        </xdr:cNvSpPr>
      </xdr:nvSpPr>
      <xdr:spPr>
        <a:xfrm>
          <a:off x="50911125" y="1971675"/>
          <a:ext cx="171450" cy="18097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257175</xdr:colOff>
      <xdr:row>16</xdr:row>
      <xdr:rowOff>114300</xdr:rowOff>
    </xdr:from>
    <xdr:to>
      <xdr:col>117</xdr:col>
      <xdr:colOff>9525</xdr:colOff>
      <xdr:row>17</xdr:row>
      <xdr:rowOff>142875</xdr:rowOff>
    </xdr:to>
    <xdr:sp>
      <xdr:nvSpPr>
        <xdr:cNvPr id="115" name="Oval 535"/>
        <xdr:cNvSpPr>
          <a:spLocks noChangeAspect="1"/>
        </xdr:cNvSpPr>
      </xdr:nvSpPr>
      <xdr:spPr>
        <a:xfrm>
          <a:off x="51473100" y="2752725"/>
          <a:ext cx="295275" cy="190500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361950</xdr:colOff>
      <xdr:row>7</xdr:row>
      <xdr:rowOff>57150</xdr:rowOff>
    </xdr:from>
    <xdr:to>
      <xdr:col>109</xdr:col>
      <xdr:colOff>361950</xdr:colOff>
      <xdr:row>16</xdr:row>
      <xdr:rowOff>57150</xdr:rowOff>
    </xdr:to>
    <xdr:sp>
      <xdr:nvSpPr>
        <xdr:cNvPr id="116" name="Line 536"/>
        <xdr:cNvSpPr>
          <a:spLocks/>
        </xdr:cNvSpPr>
      </xdr:nvSpPr>
      <xdr:spPr>
        <a:xfrm>
          <a:off x="48739425" y="1238250"/>
          <a:ext cx="0" cy="1457325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361950</xdr:colOff>
      <xdr:row>3</xdr:row>
      <xdr:rowOff>76200</xdr:rowOff>
    </xdr:from>
    <xdr:to>
      <xdr:col>109</xdr:col>
      <xdr:colOff>361950</xdr:colOff>
      <xdr:row>6</xdr:row>
      <xdr:rowOff>114300</xdr:rowOff>
    </xdr:to>
    <xdr:sp>
      <xdr:nvSpPr>
        <xdr:cNvPr id="117" name="Line 537"/>
        <xdr:cNvSpPr>
          <a:spLocks/>
        </xdr:cNvSpPr>
      </xdr:nvSpPr>
      <xdr:spPr>
        <a:xfrm flipV="1">
          <a:off x="48739425" y="6096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219075</xdr:colOff>
      <xdr:row>3</xdr:row>
      <xdr:rowOff>95250</xdr:rowOff>
    </xdr:from>
    <xdr:to>
      <xdr:col>118</xdr:col>
      <xdr:colOff>219075</xdr:colOff>
      <xdr:row>8</xdr:row>
      <xdr:rowOff>114300</xdr:rowOff>
    </xdr:to>
    <xdr:sp>
      <xdr:nvSpPr>
        <xdr:cNvPr id="118" name="Line 538"/>
        <xdr:cNvSpPr>
          <a:spLocks/>
        </xdr:cNvSpPr>
      </xdr:nvSpPr>
      <xdr:spPr>
        <a:xfrm flipV="1">
          <a:off x="52406550" y="62865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361950</xdr:colOff>
      <xdr:row>3</xdr:row>
      <xdr:rowOff>142875</xdr:rowOff>
    </xdr:from>
    <xdr:to>
      <xdr:col>118</xdr:col>
      <xdr:colOff>219075</xdr:colOff>
      <xdr:row>3</xdr:row>
      <xdr:rowOff>142875</xdr:rowOff>
    </xdr:to>
    <xdr:sp>
      <xdr:nvSpPr>
        <xdr:cNvPr id="119" name="Line 539"/>
        <xdr:cNvSpPr>
          <a:spLocks/>
        </xdr:cNvSpPr>
      </xdr:nvSpPr>
      <xdr:spPr>
        <a:xfrm>
          <a:off x="48739425" y="676275"/>
          <a:ext cx="36671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219075</xdr:colOff>
      <xdr:row>6</xdr:row>
      <xdr:rowOff>142875</xdr:rowOff>
    </xdr:from>
    <xdr:to>
      <xdr:col>115</xdr:col>
      <xdr:colOff>219075</xdr:colOff>
      <xdr:row>8</xdr:row>
      <xdr:rowOff>95250</xdr:rowOff>
    </xdr:to>
    <xdr:sp>
      <xdr:nvSpPr>
        <xdr:cNvPr id="120" name="Line 540"/>
        <xdr:cNvSpPr>
          <a:spLocks/>
        </xdr:cNvSpPr>
      </xdr:nvSpPr>
      <xdr:spPr>
        <a:xfrm flipV="1">
          <a:off x="51006375" y="11620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409575</xdr:colOff>
      <xdr:row>5</xdr:row>
      <xdr:rowOff>47625</xdr:rowOff>
    </xdr:from>
    <xdr:to>
      <xdr:col>116</xdr:col>
      <xdr:colOff>409575</xdr:colOff>
      <xdr:row>8</xdr:row>
      <xdr:rowOff>95250</xdr:rowOff>
    </xdr:to>
    <xdr:sp>
      <xdr:nvSpPr>
        <xdr:cNvPr id="121" name="Line 541"/>
        <xdr:cNvSpPr>
          <a:spLocks/>
        </xdr:cNvSpPr>
      </xdr:nvSpPr>
      <xdr:spPr>
        <a:xfrm flipV="1">
          <a:off x="51625500" y="9048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247650</xdr:colOff>
      <xdr:row>5</xdr:row>
      <xdr:rowOff>142875</xdr:rowOff>
    </xdr:from>
    <xdr:to>
      <xdr:col>116</xdr:col>
      <xdr:colOff>400050</xdr:colOff>
      <xdr:row>5</xdr:row>
      <xdr:rowOff>142875</xdr:rowOff>
    </xdr:to>
    <xdr:sp>
      <xdr:nvSpPr>
        <xdr:cNvPr id="122" name="Line 542"/>
        <xdr:cNvSpPr>
          <a:spLocks/>
        </xdr:cNvSpPr>
      </xdr:nvSpPr>
      <xdr:spPr>
        <a:xfrm>
          <a:off x="49587150" y="1000125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247650</xdr:colOff>
      <xdr:row>7</xdr:row>
      <xdr:rowOff>28575</xdr:rowOff>
    </xdr:from>
    <xdr:to>
      <xdr:col>115</xdr:col>
      <xdr:colOff>219075</xdr:colOff>
      <xdr:row>7</xdr:row>
      <xdr:rowOff>28575</xdr:rowOff>
    </xdr:to>
    <xdr:sp>
      <xdr:nvSpPr>
        <xdr:cNvPr id="123" name="Line 543"/>
        <xdr:cNvSpPr>
          <a:spLocks/>
        </xdr:cNvSpPr>
      </xdr:nvSpPr>
      <xdr:spPr>
        <a:xfrm>
          <a:off x="49587150" y="1209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247650</xdr:colOff>
      <xdr:row>4</xdr:row>
      <xdr:rowOff>28575</xdr:rowOff>
    </xdr:from>
    <xdr:to>
      <xdr:col>111</xdr:col>
      <xdr:colOff>247650</xdr:colOff>
      <xdr:row>8</xdr:row>
      <xdr:rowOff>114300</xdr:rowOff>
    </xdr:to>
    <xdr:sp>
      <xdr:nvSpPr>
        <xdr:cNvPr id="124" name="Line 544"/>
        <xdr:cNvSpPr>
          <a:spLocks/>
        </xdr:cNvSpPr>
      </xdr:nvSpPr>
      <xdr:spPr>
        <a:xfrm flipV="1">
          <a:off x="49587150" y="72390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361950</xdr:colOff>
      <xdr:row>4</xdr:row>
      <xdr:rowOff>76200</xdr:rowOff>
    </xdr:from>
    <xdr:to>
      <xdr:col>111</xdr:col>
      <xdr:colOff>247650</xdr:colOff>
      <xdr:row>4</xdr:row>
      <xdr:rowOff>76200</xdr:rowOff>
    </xdr:to>
    <xdr:sp>
      <xdr:nvSpPr>
        <xdr:cNvPr id="125" name="Line 545"/>
        <xdr:cNvSpPr>
          <a:spLocks/>
        </xdr:cNvSpPr>
      </xdr:nvSpPr>
      <xdr:spPr>
        <a:xfrm>
          <a:off x="48739425" y="7715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266700</xdr:colOff>
      <xdr:row>3</xdr:row>
      <xdr:rowOff>76200</xdr:rowOff>
    </xdr:from>
    <xdr:to>
      <xdr:col>100</xdr:col>
      <xdr:colOff>266700</xdr:colOff>
      <xdr:row>6</xdr:row>
      <xdr:rowOff>114300</xdr:rowOff>
    </xdr:to>
    <xdr:sp>
      <xdr:nvSpPr>
        <xdr:cNvPr id="126" name="Line 546"/>
        <xdr:cNvSpPr>
          <a:spLocks/>
        </xdr:cNvSpPr>
      </xdr:nvSpPr>
      <xdr:spPr>
        <a:xfrm flipV="1">
          <a:off x="44491275" y="6096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266700</xdr:colOff>
      <xdr:row>7</xdr:row>
      <xdr:rowOff>57150</xdr:rowOff>
    </xdr:from>
    <xdr:to>
      <xdr:col>100</xdr:col>
      <xdr:colOff>266700</xdr:colOff>
      <xdr:row>12</xdr:row>
      <xdr:rowOff>142875</xdr:rowOff>
    </xdr:to>
    <xdr:sp>
      <xdr:nvSpPr>
        <xdr:cNvPr id="127" name="Line 547"/>
        <xdr:cNvSpPr>
          <a:spLocks/>
        </xdr:cNvSpPr>
      </xdr:nvSpPr>
      <xdr:spPr>
        <a:xfrm>
          <a:off x="44491275" y="1238250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266700</xdr:colOff>
      <xdr:row>3</xdr:row>
      <xdr:rowOff>142875</xdr:rowOff>
    </xdr:from>
    <xdr:to>
      <xdr:col>109</xdr:col>
      <xdr:colOff>361950</xdr:colOff>
      <xdr:row>3</xdr:row>
      <xdr:rowOff>142875</xdr:rowOff>
    </xdr:to>
    <xdr:sp>
      <xdr:nvSpPr>
        <xdr:cNvPr id="128" name="Line 548"/>
        <xdr:cNvSpPr>
          <a:spLocks/>
        </xdr:cNvSpPr>
      </xdr:nvSpPr>
      <xdr:spPr>
        <a:xfrm>
          <a:off x="44491275" y="676275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323850</xdr:colOff>
      <xdr:row>1</xdr:row>
      <xdr:rowOff>142875</xdr:rowOff>
    </xdr:from>
    <xdr:to>
      <xdr:col>104</xdr:col>
      <xdr:colOff>352425</xdr:colOff>
      <xdr:row>4</xdr:row>
      <xdr:rowOff>0</xdr:rowOff>
    </xdr:to>
    <xdr:sp>
      <xdr:nvSpPr>
        <xdr:cNvPr id="129" name="Text Box 549"/>
        <xdr:cNvSpPr txBox="1">
          <a:spLocks noChangeArrowheads="1"/>
        </xdr:cNvSpPr>
      </xdr:nvSpPr>
      <xdr:spPr>
        <a:xfrm>
          <a:off x="45872400" y="304800"/>
          <a:ext cx="5048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宅内配管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L1'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110</xdr:col>
      <xdr:colOff>257175</xdr:colOff>
      <xdr:row>4</xdr:row>
      <xdr:rowOff>0</xdr:rowOff>
    </xdr:from>
    <xdr:to>
      <xdr:col>110</xdr:col>
      <xdr:colOff>409575</xdr:colOff>
      <xdr:row>4</xdr:row>
      <xdr:rowOff>104775</xdr:rowOff>
    </xdr:to>
    <xdr:sp fLocksText="0" textlink="$V$26">
      <xdr:nvSpPr>
        <xdr:cNvPr id="130" name="Text Box 550"/>
        <xdr:cNvSpPr txBox="1">
          <a:spLocks noChangeArrowheads="1"/>
        </xdr:cNvSpPr>
      </xdr:nvSpPr>
      <xdr:spPr>
        <a:xfrm>
          <a:off x="49168050" y="695325"/>
          <a:ext cx="1524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fld id="{16e1fa32-5478-4706-a08e-e0f990197442}" type="TxLink"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L2</a:t>
          </a:fld>
        </a:p>
      </xdr:txBody>
    </xdr:sp>
    <xdr:clientData/>
  </xdr:twoCellAnchor>
  <xdr:twoCellAnchor>
    <xdr:from>
      <xdr:col>112</xdr:col>
      <xdr:colOff>409575</xdr:colOff>
      <xdr:row>6</xdr:row>
      <xdr:rowOff>38100</xdr:rowOff>
    </xdr:from>
    <xdr:to>
      <xdr:col>113</xdr:col>
      <xdr:colOff>133350</xdr:colOff>
      <xdr:row>7</xdr:row>
      <xdr:rowOff>66675</xdr:rowOff>
    </xdr:to>
    <xdr:sp fLocksText="0" textlink="$AB$26">
      <xdr:nvSpPr>
        <xdr:cNvPr id="131" name="Text Box 551"/>
        <xdr:cNvSpPr txBox="1">
          <a:spLocks noChangeArrowheads="1"/>
        </xdr:cNvSpPr>
      </xdr:nvSpPr>
      <xdr:spPr>
        <a:xfrm>
          <a:off x="50177700" y="10572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fld id="{4c0b8da2-2861-4240-8487-8dc0d3d00382}" type="TxLink"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L3</a:t>
          </a:fld>
        </a:p>
      </xdr:txBody>
    </xdr:sp>
    <xdr:clientData/>
  </xdr:twoCellAnchor>
  <xdr:twoCellAnchor>
    <xdr:from>
      <xdr:col>114</xdr:col>
      <xdr:colOff>247650</xdr:colOff>
      <xdr:row>3</xdr:row>
      <xdr:rowOff>19050</xdr:rowOff>
    </xdr:from>
    <xdr:to>
      <xdr:col>114</xdr:col>
      <xdr:colOff>400050</xdr:colOff>
      <xdr:row>4</xdr:row>
      <xdr:rowOff>0</xdr:rowOff>
    </xdr:to>
    <xdr:sp fLocksText="0" textlink="$AQ$26">
      <xdr:nvSpPr>
        <xdr:cNvPr id="132" name="Text Box 552"/>
        <xdr:cNvSpPr txBox="1">
          <a:spLocks noChangeArrowheads="1"/>
        </xdr:cNvSpPr>
      </xdr:nvSpPr>
      <xdr:spPr>
        <a:xfrm>
          <a:off x="50606325" y="552450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fld id="{66cf1a70-3c8f-43b7-b306-7410480d2620}" type="TxLink"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L4</a:t>
          </a:fld>
        </a:p>
      </xdr:txBody>
    </xdr:sp>
    <xdr:clientData/>
  </xdr:twoCellAnchor>
  <xdr:twoCellAnchor>
    <xdr:from>
      <xdr:col>113</xdr:col>
      <xdr:colOff>19050</xdr:colOff>
      <xdr:row>4</xdr:row>
      <xdr:rowOff>104775</xdr:rowOff>
    </xdr:from>
    <xdr:to>
      <xdr:col>114</xdr:col>
      <xdr:colOff>19050</xdr:colOff>
      <xdr:row>5</xdr:row>
      <xdr:rowOff>133350</xdr:rowOff>
    </xdr:to>
    <xdr:sp fLocksText="0" textlink="$AB$26">
      <xdr:nvSpPr>
        <xdr:cNvPr id="133" name="Text Box 553"/>
        <xdr:cNvSpPr txBox="1">
          <a:spLocks noChangeArrowheads="1"/>
        </xdr:cNvSpPr>
      </xdr:nvSpPr>
      <xdr:spPr>
        <a:xfrm>
          <a:off x="50215800" y="80010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fld id="{cc310f81-7ffd-4e76-ba44-75708be8e3f2}" type="TxLink"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L3</a:t>
          </a:fld>
        </a:p>
      </xdr:txBody>
    </xdr:sp>
    <xdr:clientData/>
  </xdr:twoCellAnchor>
  <xdr:twoCellAnchor>
    <xdr:from>
      <xdr:col>100</xdr:col>
      <xdr:colOff>228600</xdr:colOff>
      <xdr:row>8</xdr:row>
      <xdr:rowOff>28575</xdr:rowOff>
    </xdr:from>
    <xdr:to>
      <xdr:col>100</xdr:col>
      <xdr:colOff>333375</xdr:colOff>
      <xdr:row>8</xdr:row>
      <xdr:rowOff>104775</xdr:rowOff>
    </xdr:to>
    <xdr:sp>
      <xdr:nvSpPr>
        <xdr:cNvPr id="134" name="AutoShape 554"/>
        <xdr:cNvSpPr>
          <a:spLocks noChangeAspect="1"/>
        </xdr:cNvSpPr>
      </xdr:nvSpPr>
      <xdr:spPr>
        <a:xfrm rot="10800000">
          <a:off x="44453175" y="1371600"/>
          <a:ext cx="104775" cy="762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28575</xdr:colOff>
      <xdr:row>7</xdr:row>
      <xdr:rowOff>104775</xdr:rowOff>
    </xdr:from>
    <xdr:to>
      <xdr:col>101</xdr:col>
      <xdr:colOff>285750</xdr:colOff>
      <xdr:row>8</xdr:row>
      <xdr:rowOff>133350</xdr:rowOff>
    </xdr:to>
    <xdr:sp fLocksText="0" textlink="$H$26">
      <xdr:nvSpPr>
        <xdr:cNvPr id="135" name="Text Box 555"/>
        <xdr:cNvSpPr txBox="1">
          <a:spLocks noChangeArrowheads="1"/>
        </xdr:cNvSpPr>
      </xdr:nvSpPr>
      <xdr:spPr>
        <a:xfrm>
          <a:off x="44681775" y="1285875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fld id="{19337336-11b3-495e-bbf2-b3b01b3887f9}" type="TxLink"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GH1</a:t>
          </a:fld>
        </a:p>
      </xdr:txBody>
    </xdr:sp>
    <xdr:clientData/>
  </xdr:twoCellAnchor>
  <xdr:twoCellAnchor>
    <xdr:from>
      <xdr:col>109</xdr:col>
      <xdr:colOff>285750</xdr:colOff>
      <xdr:row>8</xdr:row>
      <xdr:rowOff>28575</xdr:rowOff>
    </xdr:from>
    <xdr:to>
      <xdr:col>109</xdr:col>
      <xdr:colOff>390525</xdr:colOff>
      <xdr:row>8</xdr:row>
      <xdr:rowOff>104775</xdr:rowOff>
    </xdr:to>
    <xdr:sp>
      <xdr:nvSpPr>
        <xdr:cNvPr id="136" name="AutoShape 556"/>
        <xdr:cNvSpPr>
          <a:spLocks noChangeAspect="1"/>
        </xdr:cNvSpPr>
      </xdr:nvSpPr>
      <xdr:spPr>
        <a:xfrm rot="10800000">
          <a:off x="48663225" y="1371600"/>
          <a:ext cx="104775" cy="762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390525</xdr:colOff>
      <xdr:row>7</xdr:row>
      <xdr:rowOff>104775</xdr:rowOff>
    </xdr:from>
    <xdr:to>
      <xdr:col>109</xdr:col>
      <xdr:colOff>209550</xdr:colOff>
      <xdr:row>8</xdr:row>
      <xdr:rowOff>133350</xdr:rowOff>
    </xdr:to>
    <xdr:sp fLocksText="0" textlink="$N$26">
      <xdr:nvSpPr>
        <xdr:cNvPr id="137" name="Text Box 557"/>
        <xdr:cNvSpPr txBox="1">
          <a:spLocks noChangeArrowheads="1"/>
        </xdr:cNvSpPr>
      </xdr:nvSpPr>
      <xdr:spPr>
        <a:xfrm>
          <a:off x="48339375" y="1285875"/>
          <a:ext cx="247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fld id="{bbf81fb9-83ea-4154-b1a7-68eaa7b932d8}" type="TxLink"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GH2</a:t>
          </a:fld>
        </a:p>
      </xdr:txBody>
    </xdr:sp>
    <xdr:clientData/>
  </xdr:twoCellAnchor>
  <xdr:twoCellAnchor>
    <xdr:from>
      <xdr:col>111</xdr:col>
      <xdr:colOff>247650</xdr:colOff>
      <xdr:row>11</xdr:row>
      <xdr:rowOff>28575</xdr:rowOff>
    </xdr:from>
    <xdr:to>
      <xdr:col>111</xdr:col>
      <xdr:colOff>361950</xdr:colOff>
      <xdr:row>11</xdr:row>
      <xdr:rowOff>123825</xdr:rowOff>
    </xdr:to>
    <xdr:sp>
      <xdr:nvSpPr>
        <xdr:cNvPr id="138" name="AutoShape 558"/>
        <xdr:cNvSpPr>
          <a:spLocks noChangeAspect="1"/>
        </xdr:cNvSpPr>
      </xdr:nvSpPr>
      <xdr:spPr>
        <a:xfrm rot="10800000">
          <a:off x="49587150" y="1857375"/>
          <a:ext cx="114300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342900</xdr:colOff>
      <xdr:row>9</xdr:row>
      <xdr:rowOff>28575</xdr:rowOff>
    </xdr:from>
    <xdr:to>
      <xdr:col>113</xdr:col>
      <xdr:colOff>47625</xdr:colOff>
      <xdr:row>9</xdr:row>
      <xdr:rowOff>104775</xdr:rowOff>
    </xdr:to>
    <xdr:sp>
      <xdr:nvSpPr>
        <xdr:cNvPr id="139" name="AutoShape 559"/>
        <xdr:cNvSpPr>
          <a:spLocks noChangeAspect="1"/>
        </xdr:cNvSpPr>
      </xdr:nvSpPr>
      <xdr:spPr>
        <a:xfrm rot="10800000">
          <a:off x="50111025" y="1533525"/>
          <a:ext cx="133350" cy="762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304800</xdr:colOff>
      <xdr:row>8</xdr:row>
      <xdr:rowOff>123825</xdr:rowOff>
    </xdr:from>
    <xdr:to>
      <xdr:col>115</xdr:col>
      <xdr:colOff>133350</xdr:colOff>
      <xdr:row>9</xdr:row>
      <xdr:rowOff>152400</xdr:rowOff>
    </xdr:to>
    <xdr:sp fLocksText="0" textlink="$R$26">
      <xdr:nvSpPr>
        <xdr:cNvPr id="140" name="Text Box 560"/>
        <xdr:cNvSpPr txBox="1">
          <a:spLocks noChangeArrowheads="1"/>
        </xdr:cNvSpPr>
      </xdr:nvSpPr>
      <xdr:spPr>
        <a:xfrm>
          <a:off x="50663475" y="146685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fld id="{4e7ecb84-84b6-4f75-97b1-3c9a1fe3089a}" type="TxLink"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GH3</a:t>
          </a:fld>
        </a:p>
      </xdr:txBody>
    </xdr:sp>
    <xdr:clientData/>
  </xdr:twoCellAnchor>
  <xdr:twoCellAnchor>
    <xdr:from>
      <xdr:col>112</xdr:col>
      <xdr:colOff>28575</xdr:colOff>
      <xdr:row>10</xdr:row>
      <xdr:rowOff>104775</xdr:rowOff>
    </xdr:from>
    <xdr:to>
      <xdr:col>112</xdr:col>
      <xdr:colOff>257175</xdr:colOff>
      <xdr:row>11</xdr:row>
      <xdr:rowOff>133350</xdr:rowOff>
    </xdr:to>
    <xdr:sp fLocksText="0" textlink="$U$26">
      <xdr:nvSpPr>
        <xdr:cNvPr id="141" name="Text Box 561"/>
        <xdr:cNvSpPr txBox="1">
          <a:spLocks noChangeArrowheads="1"/>
        </xdr:cNvSpPr>
      </xdr:nvSpPr>
      <xdr:spPr>
        <a:xfrm>
          <a:off x="49796700" y="177165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fld id="{04f07663-d294-4b7f-b7bf-40eb3b264dfd}" type="TxLink"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EL3</a:t>
          </a:fld>
        </a:p>
      </xdr:txBody>
    </xdr:sp>
    <xdr:clientData/>
  </xdr:twoCellAnchor>
  <xdr:twoCellAnchor>
    <xdr:from>
      <xdr:col>98</xdr:col>
      <xdr:colOff>371475</xdr:colOff>
      <xdr:row>11</xdr:row>
      <xdr:rowOff>0</xdr:rowOff>
    </xdr:from>
    <xdr:to>
      <xdr:col>99</xdr:col>
      <xdr:colOff>57150</xdr:colOff>
      <xdr:row>11</xdr:row>
      <xdr:rowOff>76200</xdr:rowOff>
    </xdr:to>
    <xdr:sp>
      <xdr:nvSpPr>
        <xdr:cNvPr id="142" name="AutoShape 562"/>
        <xdr:cNvSpPr>
          <a:spLocks noChangeAspect="1"/>
        </xdr:cNvSpPr>
      </xdr:nvSpPr>
      <xdr:spPr>
        <a:xfrm rot="10800000">
          <a:off x="43738800" y="1828800"/>
          <a:ext cx="114300" cy="762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190500</xdr:colOff>
      <xdr:row>10</xdr:row>
      <xdr:rowOff>104775</xdr:rowOff>
    </xdr:from>
    <xdr:to>
      <xdr:col>99</xdr:col>
      <xdr:colOff>409575</xdr:colOff>
      <xdr:row>11</xdr:row>
      <xdr:rowOff>133350</xdr:rowOff>
    </xdr:to>
    <xdr:sp fLocksText="0" textlink="$J$26">
      <xdr:nvSpPr>
        <xdr:cNvPr id="143" name="Text Box 563"/>
        <xdr:cNvSpPr txBox="1">
          <a:spLocks noChangeArrowheads="1"/>
        </xdr:cNvSpPr>
      </xdr:nvSpPr>
      <xdr:spPr>
        <a:xfrm>
          <a:off x="43986450" y="1771650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fld id="{04895a3a-6105-4e26-a2cc-a951b4109f86}" type="TxLink"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EL1</a:t>
          </a:fld>
        </a:p>
      </xdr:txBody>
    </xdr:sp>
    <xdr:clientData/>
  </xdr:twoCellAnchor>
  <xdr:twoCellAnchor>
    <xdr:from>
      <xdr:col>103</xdr:col>
      <xdr:colOff>257175</xdr:colOff>
      <xdr:row>10</xdr:row>
      <xdr:rowOff>104775</xdr:rowOff>
    </xdr:from>
    <xdr:to>
      <xdr:col>104</xdr:col>
      <xdr:colOff>361950</xdr:colOff>
      <xdr:row>11</xdr:row>
      <xdr:rowOff>123825</xdr:rowOff>
    </xdr:to>
    <xdr:sp>
      <xdr:nvSpPr>
        <xdr:cNvPr id="144" name="Text Box 564"/>
        <xdr:cNvSpPr txBox="1">
          <a:spLocks noChangeArrowheads="1"/>
        </xdr:cNvSpPr>
      </xdr:nvSpPr>
      <xdr:spPr>
        <a:xfrm>
          <a:off x="45805725" y="1771650"/>
          <a:ext cx="581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勾配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％</a:t>
          </a:r>
        </a:p>
      </xdr:txBody>
    </xdr:sp>
    <xdr:clientData/>
  </xdr:twoCellAnchor>
  <xdr:twoCellAnchor>
    <xdr:from>
      <xdr:col>104</xdr:col>
      <xdr:colOff>38100</xdr:colOff>
      <xdr:row>10</xdr:row>
      <xdr:rowOff>104775</xdr:rowOff>
    </xdr:from>
    <xdr:to>
      <xdr:col>104</xdr:col>
      <xdr:colOff>152400</xdr:colOff>
      <xdr:row>11</xdr:row>
      <xdr:rowOff>133350</xdr:rowOff>
    </xdr:to>
    <xdr:sp fLocksText="0" textlink="$L$26">
      <xdr:nvSpPr>
        <xdr:cNvPr id="145" name="Text Box 565"/>
        <xdr:cNvSpPr txBox="1">
          <a:spLocks noChangeArrowheads="1"/>
        </xdr:cNvSpPr>
      </xdr:nvSpPr>
      <xdr:spPr>
        <a:xfrm>
          <a:off x="46062900" y="1771650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fld id="{ba83e998-f98d-49ba-8c5c-e90dd9d06983}" type="TxLink"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ia</a:t>
          </a:fld>
        </a:p>
      </xdr:txBody>
    </xdr:sp>
    <xdr:clientData/>
  </xdr:twoCellAnchor>
  <xdr:twoCellAnchor>
    <xdr:from>
      <xdr:col>98</xdr:col>
      <xdr:colOff>323850</xdr:colOff>
      <xdr:row>11</xdr:row>
      <xdr:rowOff>95250</xdr:rowOff>
    </xdr:from>
    <xdr:to>
      <xdr:col>100</xdr:col>
      <xdr:colOff>104775</xdr:colOff>
      <xdr:row>11</xdr:row>
      <xdr:rowOff>95250</xdr:rowOff>
    </xdr:to>
    <xdr:sp>
      <xdr:nvSpPr>
        <xdr:cNvPr id="146" name="Line 566"/>
        <xdr:cNvSpPr>
          <a:spLocks/>
        </xdr:cNvSpPr>
      </xdr:nvSpPr>
      <xdr:spPr>
        <a:xfrm flipH="1">
          <a:off x="43691175" y="19240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266700</xdr:colOff>
      <xdr:row>11</xdr:row>
      <xdr:rowOff>47625</xdr:rowOff>
    </xdr:from>
    <xdr:to>
      <xdr:col>106</xdr:col>
      <xdr:colOff>390525</xdr:colOff>
      <xdr:row>11</xdr:row>
      <xdr:rowOff>142875</xdr:rowOff>
    </xdr:to>
    <xdr:sp>
      <xdr:nvSpPr>
        <xdr:cNvPr id="147" name="AutoShape 567"/>
        <xdr:cNvSpPr>
          <a:spLocks noChangeAspect="1"/>
        </xdr:cNvSpPr>
      </xdr:nvSpPr>
      <xdr:spPr>
        <a:xfrm rot="10800000">
          <a:off x="47329725" y="1876425"/>
          <a:ext cx="123825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66675</xdr:colOff>
      <xdr:row>10</xdr:row>
      <xdr:rowOff>142875</xdr:rowOff>
    </xdr:from>
    <xdr:to>
      <xdr:col>108</xdr:col>
      <xdr:colOff>285750</xdr:colOff>
      <xdr:row>12</xdr:row>
      <xdr:rowOff>9525</xdr:rowOff>
    </xdr:to>
    <xdr:sp fLocksText="0" textlink="$M$26">
      <xdr:nvSpPr>
        <xdr:cNvPr id="148" name="Text Box 568"/>
        <xdr:cNvSpPr txBox="1">
          <a:spLocks noChangeArrowheads="1"/>
        </xdr:cNvSpPr>
      </xdr:nvSpPr>
      <xdr:spPr>
        <a:xfrm>
          <a:off x="48015525" y="1809750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fld id="{5c662be2-b7d3-46c3-9cbe-e8ab4b30d1f9}" type="TxLink"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EL2</a:t>
          </a:fld>
        </a:p>
      </xdr:txBody>
    </xdr:sp>
    <xdr:clientData/>
  </xdr:twoCellAnchor>
  <xdr:twoCellAnchor>
    <xdr:from>
      <xdr:col>106</xdr:col>
      <xdr:colOff>200025</xdr:colOff>
      <xdr:row>11</xdr:row>
      <xdr:rowOff>123825</xdr:rowOff>
    </xdr:from>
    <xdr:to>
      <xdr:col>109</xdr:col>
      <xdr:colOff>57150</xdr:colOff>
      <xdr:row>11</xdr:row>
      <xdr:rowOff>123825</xdr:rowOff>
    </xdr:to>
    <xdr:sp>
      <xdr:nvSpPr>
        <xdr:cNvPr id="149" name="Line 569"/>
        <xdr:cNvSpPr>
          <a:spLocks/>
        </xdr:cNvSpPr>
      </xdr:nvSpPr>
      <xdr:spPr>
        <a:xfrm flipH="1">
          <a:off x="47263050" y="19526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381000</xdr:colOff>
      <xdr:row>11</xdr:row>
      <xdr:rowOff>114300</xdr:rowOff>
    </xdr:from>
    <xdr:to>
      <xdr:col>109</xdr:col>
      <xdr:colOff>219075</xdr:colOff>
      <xdr:row>13</xdr:row>
      <xdr:rowOff>95250</xdr:rowOff>
    </xdr:to>
    <xdr:sp>
      <xdr:nvSpPr>
        <xdr:cNvPr id="150" name="Line 570"/>
        <xdr:cNvSpPr>
          <a:spLocks/>
        </xdr:cNvSpPr>
      </xdr:nvSpPr>
      <xdr:spPr>
        <a:xfrm>
          <a:off x="44605575" y="1943100"/>
          <a:ext cx="3990975" cy="3048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19050</xdr:colOff>
      <xdr:row>11</xdr:row>
      <xdr:rowOff>123825</xdr:rowOff>
    </xdr:from>
    <xdr:to>
      <xdr:col>109</xdr:col>
      <xdr:colOff>209550</xdr:colOff>
      <xdr:row>13</xdr:row>
      <xdr:rowOff>95250</xdr:rowOff>
    </xdr:to>
    <xdr:sp>
      <xdr:nvSpPr>
        <xdr:cNvPr id="151" name="Line 571"/>
        <xdr:cNvSpPr>
          <a:spLocks/>
        </xdr:cNvSpPr>
      </xdr:nvSpPr>
      <xdr:spPr>
        <a:xfrm>
          <a:off x="48396525" y="1952625"/>
          <a:ext cx="1905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266700</xdr:colOff>
      <xdr:row>16</xdr:row>
      <xdr:rowOff>95250</xdr:rowOff>
    </xdr:from>
    <xdr:to>
      <xdr:col>106</xdr:col>
      <xdr:colOff>390525</xdr:colOff>
      <xdr:row>17</xdr:row>
      <xdr:rowOff>9525</xdr:rowOff>
    </xdr:to>
    <xdr:sp>
      <xdr:nvSpPr>
        <xdr:cNvPr id="152" name="AutoShape 572"/>
        <xdr:cNvSpPr>
          <a:spLocks noChangeAspect="1"/>
        </xdr:cNvSpPr>
      </xdr:nvSpPr>
      <xdr:spPr>
        <a:xfrm rot="10800000">
          <a:off x="47329725" y="2733675"/>
          <a:ext cx="123825" cy="762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104775</xdr:colOff>
      <xdr:row>16</xdr:row>
      <xdr:rowOff>38100</xdr:rowOff>
    </xdr:from>
    <xdr:to>
      <xdr:col>108</xdr:col>
      <xdr:colOff>323850</xdr:colOff>
      <xdr:row>17</xdr:row>
      <xdr:rowOff>66675</xdr:rowOff>
    </xdr:to>
    <xdr:sp fLocksText="0" textlink="$AN$26">
      <xdr:nvSpPr>
        <xdr:cNvPr id="153" name="Text Box 573"/>
        <xdr:cNvSpPr txBox="1">
          <a:spLocks noChangeArrowheads="1"/>
        </xdr:cNvSpPr>
      </xdr:nvSpPr>
      <xdr:spPr>
        <a:xfrm>
          <a:off x="48053625" y="2676525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fld id="{f745ed3d-192f-40f2-b3f5-3746c02eb9bd}" type="TxLink"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EL4</a:t>
          </a:fld>
        </a:p>
      </xdr:txBody>
    </xdr:sp>
    <xdr:clientData/>
  </xdr:twoCellAnchor>
  <xdr:twoCellAnchor>
    <xdr:from>
      <xdr:col>106</xdr:col>
      <xdr:colOff>228600</xdr:colOff>
      <xdr:row>16</xdr:row>
      <xdr:rowOff>152400</xdr:rowOff>
    </xdr:from>
    <xdr:to>
      <xdr:col>109</xdr:col>
      <xdr:colOff>57150</xdr:colOff>
      <xdr:row>16</xdr:row>
      <xdr:rowOff>152400</xdr:rowOff>
    </xdr:to>
    <xdr:sp>
      <xdr:nvSpPr>
        <xdr:cNvPr id="154" name="Line 574"/>
        <xdr:cNvSpPr>
          <a:spLocks/>
        </xdr:cNvSpPr>
      </xdr:nvSpPr>
      <xdr:spPr>
        <a:xfrm flipH="1">
          <a:off x="47291625" y="27908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28575</xdr:colOff>
      <xdr:row>15</xdr:row>
      <xdr:rowOff>47625</xdr:rowOff>
    </xdr:from>
    <xdr:to>
      <xdr:col>109</xdr:col>
      <xdr:colOff>361950</xdr:colOff>
      <xdr:row>17</xdr:row>
      <xdr:rowOff>0</xdr:rowOff>
    </xdr:to>
    <xdr:sp>
      <xdr:nvSpPr>
        <xdr:cNvPr id="155" name="Line 575"/>
        <xdr:cNvSpPr>
          <a:spLocks/>
        </xdr:cNvSpPr>
      </xdr:nvSpPr>
      <xdr:spPr>
        <a:xfrm flipV="1">
          <a:off x="48406050" y="2524125"/>
          <a:ext cx="3333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123825</xdr:colOff>
      <xdr:row>15</xdr:row>
      <xdr:rowOff>57150</xdr:rowOff>
    </xdr:from>
    <xdr:to>
      <xdr:col>119</xdr:col>
      <xdr:colOff>247650</xdr:colOff>
      <xdr:row>15</xdr:row>
      <xdr:rowOff>142875</xdr:rowOff>
    </xdr:to>
    <xdr:sp>
      <xdr:nvSpPr>
        <xdr:cNvPr id="156" name="AutoShape 576"/>
        <xdr:cNvSpPr>
          <a:spLocks noChangeAspect="1"/>
        </xdr:cNvSpPr>
      </xdr:nvSpPr>
      <xdr:spPr>
        <a:xfrm rot="10800000">
          <a:off x="52749450" y="2533650"/>
          <a:ext cx="123825" cy="857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342900</xdr:colOff>
      <xdr:row>14</xdr:row>
      <xdr:rowOff>142875</xdr:rowOff>
    </xdr:from>
    <xdr:to>
      <xdr:col>120</xdr:col>
      <xdr:colOff>142875</xdr:colOff>
      <xdr:row>16</xdr:row>
      <xdr:rowOff>9525</xdr:rowOff>
    </xdr:to>
    <xdr:sp fLocksText="0" textlink="$AT$26">
      <xdr:nvSpPr>
        <xdr:cNvPr id="157" name="Text Box 577"/>
        <xdr:cNvSpPr txBox="1">
          <a:spLocks noChangeArrowheads="1"/>
        </xdr:cNvSpPr>
      </xdr:nvSpPr>
      <xdr:spPr>
        <a:xfrm>
          <a:off x="52968525" y="245745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fld id="{508ec681-c44f-460f-9555-491de2f0508c}" type="TxLink"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EL5</a:t>
          </a:fld>
        </a:p>
      </xdr:txBody>
    </xdr:sp>
    <xdr:clientData/>
  </xdr:twoCellAnchor>
  <xdr:twoCellAnchor>
    <xdr:from>
      <xdr:col>118</xdr:col>
      <xdr:colOff>219075</xdr:colOff>
      <xdr:row>15</xdr:row>
      <xdr:rowOff>142875</xdr:rowOff>
    </xdr:from>
    <xdr:to>
      <xdr:col>122</xdr:col>
      <xdr:colOff>323850</xdr:colOff>
      <xdr:row>15</xdr:row>
      <xdr:rowOff>142875</xdr:rowOff>
    </xdr:to>
    <xdr:sp>
      <xdr:nvSpPr>
        <xdr:cNvPr id="158" name="Line 578"/>
        <xdr:cNvSpPr>
          <a:spLocks/>
        </xdr:cNvSpPr>
      </xdr:nvSpPr>
      <xdr:spPr>
        <a:xfrm flipH="1">
          <a:off x="52406550" y="26193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219075</xdr:colOff>
      <xdr:row>14</xdr:row>
      <xdr:rowOff>142875</xdr:rowOff>
    </xdr:from>
    <xdr:to>
      <xdr:col>122</xdr:col>
      <xdr:colOff>219075</xdr:colOff>
      <xdr:row>16</xdr:row>
      <xdr:rowOff>0</xdr:rowOff>
    </xdr:to>
    <xdr:sp>
      <xdr:nvSpPr>
        <xdr:cNvPr id="159" name="Text Box 579"/>
        <xdr:cNvSpPr txBox="1">
          <a:spLocks noChangeArrowheads="1"/>
        </xdr:cNvSpPr>
      </xdr:nvSpPr>
      <xdr:spPr>
        <a:xfrm>
          <a:off x="53273325" y="2457450"/>
          <a:ext cx="857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縦断図表示高さ</a:t>
          </a:r>
        </a:p>
      </xdr:txBody>
    </xdr:sp>
    <xdr:clientData/>
  </xdr:twoCellAnchor>
  <xdr:twoCellAnchor>
    <xdr:from>
      <xdr:col>111</xdr:col>
      <xdr:colOff>219075</xdr:colOff>
      <xdr:row>11</xdr:row>
      <xdr:rowOff>114300</xdr:rowOff>
    </xdr:from>
    <xdr:to>
      <xdr:col>111</xdr:col>
      <xdr:colOff>219075</xdr:colOff>
      <xdr:row>13</xdr:row>
      <xdr:rowOff>152400</xdr:rowOff>
    </xdr:to>
    <xdr:sp>
      <xdr:nvSpPr>
        <xdr:cNvPr id="160" name="Line 580"/>
        <xdr:cNvSpPr>
          <a:spLocks/>
        </xdr:cNvSpPr>
      </xdr:nvSpPr>
      <xdr:spPr>
        <a:xfrm>
          <a:off x="49558575" y="19431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257175</xdr:colOff>
      <xdr:row>12</xdr:row>
      <xdr:rowOff>47625</xdr:rowOff>
    </xdr:from>
    <xdr:to>
      <xdr:col>111</xdr:col>
      <xdr:colOff>409575</xdr:colOff>
      <xdr:row>13</xdr:row>
      <xdr:rowOff>76200</xdr:rowOff>
    </xdr:to>
    <xdr:sp fLocksText="0" textlink="$X$26">
      <xdr:nvSpPr>
        <xdr:cNvPr id="161" name="Text Box 581"/>
        <xdr:cNvSpPr txBox="1">
          <a:spLocks noChangeArrowheads="1"/>
        </xdr:cNvSpPr>
      </xdr:nvSpPr>
      <xdr:spPr>
        <a:xfrm>
          <a:off x="49596675" y="20383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fld id="{331e077a-0362-4e1f-b059-686165bd45d2}" type="TxLink"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h4</a:t>
          </a:fld>
        </a:p>
      </xdr:txBody>
    </xdr:sp>
    <xdr:clientData/>
  </xdr:twoCellAnchor>
  <xdr:twoCellAnchor>
    <xdr:from>
      <xdr:col>112</xdr:col>
      <xdr:colOff>419100</xdr:colOff>
      <xdr:row>9</xdr:row>
      <xdr:rowOff>95250</xdr:rowOff>
    </xdr:from>
    <xdr:to>
      <xdr:col>112</xdr:col>
      <xdr:colOff>419100</xdr:colOff>
      <xdr:row>14</xdr:row>
      <xdr:rowOff>0</xdr:rowOff>
    </xdr:to>
    <xdr:sp>
      <xdr:nvSpPr>
        <xdr:cNvPr id="162" name="Line 582"/>
        <xdr:cNvSpPr>
          <a:spLocks/>
        </xdr:cNvSpPr>
      </xdr:nvSpPr>
      <xdr:spPr>
        <a:xfrm>
          <a:off x="50187225" y="1600200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104775</xdr:colOff>
      <xdr:row>11</xdr:row>
      <xdr:rowOff>38100</xdr:rowOff>
    </xdr:from>
    <xdr:to>
      <xdr:col>114</xdr:col>
      <xdr:colOff>95250</xdr:colOff>
      <xdr:row>12</xdr:row>
      <xdr:rowOff>66675</xdr:rowOff>
    </xdr:to>
    <xdr:sp fLocksText="0" textlink="$T$26">
      <xdr:nvSpPr>
        <xdr:cNvPr id="163" name="Text Box 583"/>
        <xdr:cNvSpPr txBox="1">
          <a:spLocks noChangeArrowheads="1"/>
        </xdr:cNvSpPr>
      </xdr:nvSpPr>
      <xdr:spPr>
        <a:xfrm>
          <a:off x="50301525" y="18669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fld id="{f1cbc327-65f4-4d4f-8fa0-ab73696e37ae}" type="TxLink"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h3</a:t>
          </a:fld>
        </a:p>
      </xdr:txBody>
    </xdr:sp>
    <xdr:clientData/>
  </xdr:twoCellAnchor>
  <xdr:twoCellAnchor>
    <xdr:from>
      <xdr:col>115</xdr:col>
      <xdr:colOff>209550</xdr:colOff>
      <xdr:row>12</xdr:row>
      <xdr:rowOff>152400</xdr:rowOff>
    </xdr:from>
    <xdr:to>
      <xdr:col>115</xdr:col>
      <xdr:colOff>209550</xdr:colOff>
      <xdr:row>14</xdr:row>
      <xdr:rowOff>57150</xdr:rowOff>
    </xdr:to>
    <xdr:sp>
      <xdr:nvSpPr>
        <xdr:cNvPr id="164" name="Line 584"/>
        <xdr:cNvSpPr>
          <a:spLocks/>
        </xdr:cNvSpPr>
      </xdr:nvSpPr>
      <xdr:spPr>
        <a:xfrm>
          <a:off x="50996850" y="21431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295275</xdr:colOff>
      <xdr:row>13</xdr:row>
      <xdr:rowOff>38100</xdr:rowOff>
    </xdr:from>
    <xdr:to>
      <xdr:col>116</xdr:col>
      <xdr:colOff>38100</xdr:colOff>
      <xdr:row>14</xdr:row>
      <xdr:rowOff>66675</xdr:rowOff>
    </xdr:to>
    <xdr:sp fLocksText="0" textlink="$AL$26">
      <xdr:nvSpPr>
        <xdr:cNvPr id="165" name="Text Box 585"/>
        <xdr:cNvSpPr txBox="1">
          <a:spLocks noChangeArrowheads="1"/>
        </xdr:cNvSpPr>
      </xdr:nvSpPr>
      <xdr:spPr>
        <a:xfrm>
          <a:off x="51082575" y="2190750"/>
          <a:ext cx="171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fld id="{ac7c965f-6e56-473d-8c43-71b26db6b049}" type="TxLink"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h5</a:t>
          </a:fld>
        </a:p>
      </xdr:txBody>
    </xdr:sp>
    <xdr:clientData/>
  </xdr:twoCellAnchor>
  <xdr:twoCellAnchor>
    <xdr:from>
      <xdr:col>116</xdr:col>
      <xdr:colOff>361950</xdr:colOff>
      <xdr:row>15</xdr:row>
      <xdr:rowOff>95250</xdr:rowOff>
    </xdr:from>
    <xdr:to>
      <xdr:col>116</xdr:col>
      <xdr:colOff>361950</xdr:colOff>
      <xdr:row>16</xdr:row>
      <xdr:rowOff>114300</xdr:rowOff>
    </xdr:to>
    <xdr:sp>
      <xdr:nvSpPr>
        <xdr:cNvPr id="166" name="Line 586"/>
        <xdr:cNvSpPr>
          <a:spLocks/>
        </xdr:cNvSpPr>
      </xdr:nvSpPr>
      <xdr:spPr>
        <a:xfrm>
          <a:off x="51577875" y="25717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133350</xdr:colOff>
      <xdr:row>15</xdr:row>
      <xdr:rowOff>142875</xdr:rowOff>
    </xdr:from>
    <xdr:to>
      <xdr:col>117</xdr:col>
      <xdr:colOff>295275</xdr:colOff>
      <xdr:row>17</xdr:row>
      <xdr:rowOff>9525</xdr:rowOff>
    </xdr:to>
    <xdr:sp fLocksText="0" textlink="$AL$26">
      <xdr:nvSpPr>
        <xdr:cNvPr id="167" name="Text Box 587"/>
        <xdr:cNvSpPr txBox="1">
          <a:spLocks noChangeArrowheads="1"/>
        </xdr:cNvSpPr>
      </xdr:nvSpPr>
      <xdr:spPr>
        <a:xfrm>
          <a:off x="51892200" y="26193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fld id="{c8abe3a5-8e05-4c4a-8afe-da8b13ea812c}" type="TxLink"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h5</a:t>
          </a:fld>
        </a:p>
      </xdr:txBody>
    </xdr:sp>
    <xdr:clientData/>
  </xdr:twoCellAnchor>
  <xdr:twoCellAnchor>
    <xdr:from>
      <xdr:col>113</xdr:col>
      <xdr:colOff>19050</xdr:colOff>
      <xdr:row>13</xdr:row>
      <xdr:rowOff>38100</xdr:rowOff>
    </xdr:from>
    <xdr:to>
      <xdr:col>114</xdr:col>
      <xdr:colOff>400050</xdr:colOff>
      <xdr:row>14</xdr:row>
      <xdr:rowOff>57150</xdr:rowOff>
    </xdr:to>
    <xdr:sp>
      <xdr:nvSpPr>
        <xdr:cNvPr id="168" name="Text Box 588"/>
        <xdr:cNvSpPr txBox="1">
          <a:spLocks noChangeArrowheads="1"/>
        </xdr:cNvSpPr>
      </xdr:nvSpPr>
      <xdr:spPr>
        <a:xfrm>
          <a:off x="50215800" y="2190750"/>
          <a:ext cx="542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勾配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％</a:t>
          </a:r>
        </a:p>
      </xdr:txBody>
    </xdr:sp>
    <xdr:clientData/>
  </xdr:twoCellAnchor>
  <xdr:twoCellAnchor>
    <xdr:from>
      <xdr:col>114</xdr:col>
      <xdr:colOff>200025</xdr:colOff>
      <xdr:row>13</xdr:row>
      <xdr:rowOff>38100</xdr:rowOff>
    </xdr:from>
    <xdr:to>
      <xdr:col>114</xdr:col>
      <xdr:colOff>314325</xdr:colOff>
      <xdr:row>14</xdr:row>
      <xdr:rowOff>66675</xdr:rowOff>
    </xdr:to>
    <xdr:sp fLocksText="0" textlink="$AP$26">
      <xdr:nvSpPr>
        <xdr:cNvPr id="169" name="Text Box 589"/>
        <xdr:cNvSpPr txBox="1">
          <a:spLocks noChangeArrowheads="1"/>
        </xdr:cNvSpPr>
      </xdr:nvSpPr>
      <xdr:spPr>
        <a:xfrm>
          <a:off x="50558700" y="2190750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fld id="{749977d6-23a8-4972-9800-904b095de9d3}" type="TxLink"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ib</a:t>
          </a:fld>
        </a:p>
      </xdr:txBody>
    </xdr:sp>
    <xdr:clientData/>
  </xdr:twoCellAnchor>
  <xdr:twoCellAnchor>
    <xdr:from>
      <xdr:col>114</xdr:col>
      <xdr:colOff>161925</xdr:colOff>
      <xdr:row>1</xdr:row>
      <xdr:rowOff>142875</xdr:rowOff>
    </xdr:from>
    <xdr:to>
      <xdr:col>115</xdr:col>
      <xdr:colOff>133350</xdr:colOff>
      <xdr:row>3</xdr:row>
      <xdr:rowOff>28575</xdr:rowOff>
    </xdr:to>
    <xdr:sp>
      <xdr:nvSpPr>
        <xdr:cNvPr id="170" name="Text Box 590"/>
        <xdr:cNvSpPr txBox="1">
          <a:spLocks noChangeArrowheads="1"/>
        </xdr:cNvSpPr>
      </xdr:nvSpPr>
      <xdr:spPr>
        <a:xfrm>
          <a:off x="50520600" y="304800"/>
          <a:ext cx="4000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取付管</a:t>
          </a:r>
        </a:p>
      </xdr:txBody>
    </xdr:sp>
    <xdr:clientData/>
  </xdr:twoCellAnchor>
  <xdr:twoCellAnchor>
    <xdr:from>
      <xdr:col>115</xdr:col>
      <xdr:colOff>209550</xdr:colOff>
      <xdr:row>9</xdr:row>
      <xdr:rowOff>95250</xdr:rowOff>
    </xdr:from>
    <xdr:to>
      <xdr:col>115</xdr:col>
      <xdr:colOff>209550</xdr:colOff>
      <xdr:row>11</xdr:row>
      <xdr:rowOff>142875</xdr:rowOff>
    </xdr:to>
    <xdr:sp>
      <xdr:nvSpPr>
        <xdr:cNvPr id="171" name="Line 591"/>
        <xdr:cNvSpPr>
          <a:spLocks/>
        </xdr:cNvSpPr>
      </xdr:nvSpPr>
      <xdr:spPr>
        <a:xfrm>
          <a:off x="50996850" y="16002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266700</xdr:colOff>
      <xdr:row>10</xdr:row>
      <xdr:rowOff>76200</xdr:rowOff>
    </xdr:from>
    <xdr:to>
      <xdr:col>116</xdr:col>
      <xdr:colOff>200025</xdr:colOff>
      <xdr:row>11</xdr:row>
      <xdr:rowOff>95250</xdr:rowOff>
    </xdr:to>
    <xdr:sp>
      <xdr:nvSpPr>
        <xdr:cNvPr id="172" name="Text Box 592"/>
        <xdr:cNvSpPr txBox="1">
          <a:spLocks noChangeArrowheads="1"/>
        </xdr:cNvSpPr>
      </xdr:nvSpPr>
      <xdr:spPr>
        <a:xfrm>
          <a:off x="51054000" y="1743075"/>
          <a:ext cx="361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土被り</a:t>
          </a:r>
        </a:p>
      </xdr:txBody>
    </xdr:sp>
    <xdr:clientData/>
  </xdr:twoCellAnchor>
  <xdr:twoCellAnchor>
    <xdr:from>
      <xdr:col>115</xdr:col>
      <xdr:colOff>400050</xdr:colOff>
      <xdr:row>12</xdr:row>
      <xdr:rowOff>76200</xdr:rowOff>
    </xdr:from>
    <xdr:to>
      <xdr:col>116</xdr:col>
      <xdr:colOff>95250</xdr:colOff>
      <xdr:row>12</xdr:row>
      <xdr:rowOff>152400</xdr:rowOff>
    </xdr:to>
    <xdr:sp>
      <xdr:nvSpPr>
        <xdr:cNvPr id="173" name="AutoShape 593"/>
        <xdr:cNvSpPr>
          <a:spLocks noChangeAspect="1"/>
        </xdr:cNvSpPr>
      </xdr:nvSpPr>
      <xdr:spPr>
        <a:xfrm rot="10800000">
          <a:off x="51187350" y="2066925"/>
          <a:ext cx="123825" cy="762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200025</xdr:colOff>
      <xdr:row>12</xdr:row>
      <xdr:rowOff>38100</xdr:rowOff>
    </xdr:from>
    <xdr:to>
      <xdr:col>117</xdr:col>
      <xdr:colOff>47625</xdr:colOff>
      <xdr:row>13</xdr:row>
      <xdr:rowOff>47625</xdr:rowOff>
    </xdr:to>
    <xdr:sp>
      <xdr:nvSpPr>
        <xdr:cNvPr id="174" name="Text Box 594"/>
        <xdr:cNvSpPr txBox="1">
          <a:spLocks noChangeArrowheads="1"/>
        </xdr:cNvSpPr>
      </xdr:nvSpPr>
      <xdr:spPr>
        <a:xfrm>
          <a:off x="51415950" y="2028825"/>
          <a:ext cx="390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標高</a:t>
          </a:r>
        </a:p>
      </xdr:txBody>
    </xdr:sp>
    <xdr:clientData/>
  </xdr:twoCellAnchor>
  <xdr:twoCellAnchor>
    <xdr:from>
      <xdr:col>115</xdr:col>
      <xdr:colOff>219075</xdr:colOff>
      <xdr:row>12</xdr:row>
      <xdr:rowOff>152400</xdr:rowOff>
    </xdr:from>
    <xdr:to>
      <xdr:col>117</xdr:col>
      <xdr:colOff>95250</xdr:colOff>
      <xdr:row>12</xdr:row>
      <xdr:rowOff>152400</xdr:rowOff>
    </xdr:to>
    <xdr:sp>
      <xdr:nvSpPr>
        <xdr:cNvPr id="175" name="Line 595"/>
        <xdr:cNvSpPr>
          <a:spLocks/>
        </xdr:cNvSpPr>
      </xdr:nvSpPr>
      <xdr:spPr>
        <a:xfrm flipH="1">
          <a:off x="51006375" y="21431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257175</xdr:colOff>
      <xdr:row>1</xdr:row>
      <xdr:rowOff>142875</xdr:rowOff>
    </xdr:from>
    <xdr:to>
      <xdr:col>110</xdr:col>
      <xdr:colOff>228600</xdr:colOff>
      <xdr:row>3</xdr:row>
      <xdr:rowOff>28575</xdr:rowOff>
    </xdr:to>
    <xdr:sp>
      <xdr:nvSpPr>
        <xdr:cNvPr id="176" name="Text Box 596"/>
        <xdr:cNvSpPr txBox="1">
          <a:spLocks noChangeArrowheads="1"/>
        </xdr:cNvSpPr>
      </xdr:nvSpPr>
      <xdr:spPr>
        <a:xfrm>
          <a:off x="48634650" y="30480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公共桝</a:t>
          </a:r>
        </a:p>
      </xdr:txBody>
    </xdr:sp>
    <xdr:clientData/>
  </xdr:twoCellAnchor>
  <xdr:twoCellAnchor>
    <xdr:from>
      <xdr:col>118</xdr:col>
      <xdr:colOff>114300</xdr:colOff>
      <xdr:row>1</xdr:row>
      <xdr:rowOff>142875</xdr:rowOff>
    </xdr:from>
    <xdr:to>
      <xdr:col>118</xdr:col>
      <xdr:colOff>381000</xdr:colOff>
      <xdr:row>3</xdr:row>
      <xdr:rowOff>28575</xdr:rowOff>
    </xdr:to>
    <xdr:sp>
      <xdr:nvSpPr>
        <xdr:cNvPr id="177" name="Text Box 597"/>
        <xdr:cNvSpPr txBox="1">
          <a:spLocks noChangeArrowheads="1"/>
        </xdr:cNvSpPr>
      </xdr:nvSpPr>
      <xdr:spPr>
        <a:xfrm>
          <a:off x="52301775" y="304800"/>
          <a:ext cx="2667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本管</a:t>
          </a:r>
        </a:p>
      </xdr:txBody>
    </xdr:sp>
    <xdr:clientData/>
  </xdr:twoCellAnchor>
  <xdr:twoCellAnchor>
    <xdr:from>
      <xdr:col>106</xdr:col>
      <xdr:colOff>114300</xdr:colOff>
      <xdr:row>8</xdr:row>
      <xdr:rowOff>95250</xdr:rowOff>
    </xdr:from>
    <xdr:to>
      <xdr:col>106</xdr:col>
      <xdr:colOff>114300</xdr:colOff>
      <xdr:row>14</xdr:row>
      <xdr:rowOff>95250</xdr:rowOff>
    </xdr:to>
    <xdr:sp>
      <xdr:nvSpPr>
        <xdr:cNvPr id="178" name="Line 598"/>
        <xdr:cNvSpPr>
          <a:spLocks/>
        </xdr:cNvSpPr>
      </xdr:nvSpPr>
      <xdr:spPr>
        <a:xfrm>
          <a:off x="47177325" y="14382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228600</xdr:colOff>
      <xdr:row>13</xdr:row>
      <xdr:rowOff>95250</xdr:rowOff>
    </xdr:from>
    <xdr:to>
      <xdr:col>109</xdr:col>
      <xdr:colOff>219075</xdr:colOff>
      <xdr:row>13</xdr:row>
      <xdr:rowOff>95250</xdr:rowOff>
    </xdr:to>
    <xdr:sp>
      <xdr:nvSpPr>
        <xdr:cNvPr id="179" name="Line 599"/>
        <xdr:cNvSpPr>
          <a:spLocks/>
        </xdr:cNvSpPr>
      </xdr:nvSpPr>
      <xdr:spPr>
        <a:xfrm flipH="1">
          <a:off x="47291625" y="22479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66675</xdr:colOff>
      <xdr:row>14</xdr:row>
      <xdr:rowOff>95250</xdr:rowOff>
    </xdr:from>
    <xdr:to>
      <xdr:col>109</xdr:col>
      <xdr:colOff>238125</xdr:colOff>
      <xdr:row>14</xdr:row>
      <xdr:rowOff>95250</xdr:rowOff>
    </xdr:to>
    <xdr:sp>
      <xdr:nvSpPr>
        <xdr:cNvPr id="180" name="Line 600"/>
        <xdr:cNvSpPr>
          <a:spLocks/>
        </xdr:cNvSpPr>
      </xdr:nvSpPr>
      <xdr:spPr>
        <a:xfrm flipH="1">
          <a:off x="47129700" y="24098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9525</xdr:colOff>
      <xdr:row>13</xdr:row>
      <xdr:rowOff>104775</xdr:rowOff>
    </xdr:from>
    <xdr:to>
      <xdr:col>109</xdr:col>
      <xdr:colOff>95250</xdr:colOff>
      <xdr:row>14</xdr:row>
      <xdr:rowOff>123825</xdr:rowOff>
    </xdr:to>
    <xdr:sp>
      <xdr:nvSpPr>
        <xdr:cNvPr id="181" name="Text Box 601"/>
        <xdr:cNvSpPr txBox="1">
          <a:spLocks noChangeArrowheads="1"/>
        </xdr:cNvSpPr>
      </xdr:nvSpPr>
      <xdr:spPr>
        <a:xfrm>
          <a:off x="47958375" y="2257425"/>
          <a:ext cx="514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ます落差</a:t>
          </a:r>
        </a:p>
      </xdr:txBody>
    </xdr:sp>
    <xdr:clientData/>
  </xdr:twoCellAnchor>
  <xdr:twoCellAnchor>
    <xdr:from>
      <xdr:col>106</xdr:col>
      <xdr:colOff>266700</xdr:colOff>
      <xdr:row>13</xdr:row>
      <xdr:rowOff>76200</xdr:rowOff>
    </xdr:from>
    <xdr:to>
      <xdr:col>106</xdr:col>
      <xdr:colOff>266700</xdr:colOff>
      <xdr:row>14</xdr:row>
      <xdr:rowOff>114300</xdr:rowOff>
    </xdr:to>
    <xdr:sp>
      <xdr:nvSpPr>
        <xdr:cNvPr id="182" name="Line 602"/>
        <xdr:cNvSpPr>
          <a:spLocks/>
        </xdr:cNvSpPr>
      </xdr:nvSpPr>
      <xdr:spPr>
        <a:xfrm>
          <a:off x="47329725" y="22288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371475</xdr:colOff>
      <xdr:row>9</xdr:row>
      <xdr:rowOff>142875</xdr:rowOff>
    </xdr:from>
    <xdr:to>
      <xdr:col>106</xdr:col>
      <xdr:colOff>114300</xdr:colOff>
      <xdr:row>11</xdr:row>
      <xdr:rowOff>9525</xdr:rowOff>
    </xdr:to>
    <xdr:sp fLocksText="0" textlink="$Q$26">
      <xdr:nvSpPr>
        <xdr:cNvPr id="183" name="Text Box 603"/>
        <xdr:cNvSpPr txBox="1">
          <a:spLocks noChangeArrowheads="1"/>
        </xdr:cNvSpPr>
      </xdr:nvSpPr>
      <xdr:spPr>
        <a:xfrm>
          <a:off x="47005875" y="1647825"/>
          <a:ext cx="171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fld id="{4ccdfd16-5aa6-4d8d-a44a-f2d2591e35f5}" type="TxLink"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H1</a:t>
          </a:fld>
        </a:p>
      </xdr:txBody>
    </xdr:sp>
    <xdr:clientData/>
  </xdr:twoCellAnchor>
  <xdr:twoCellAnchor>
    <xdr:from>
      <xdr:col>105</xdr:col>
      <xdr:colOff>238125</xdr:colOff>
      <xdr:row>8</xdr:row>
      <xdr:rowOff>95250</xdr:rowOff>
    </xdr:from>
    <xdr:to>
      <xdr:col>105</xdr:col>
      <xdr:colOff>238125</xdr:colOff>
      <xdr:row>15</xdr:row>
      <xdr:rowOff>47625</xdr:rowOff>
    </xdr:to>
    <xdr:sp>
      <xdr:nvSpPr>
        <xdr:cNvPr id="184" name="Line 604"/>
        <xdr:cNvSpPr>
          <a:spLocks/>
        </xdr:cNvSpPr>
      </xdr:nvSpPr>
      <xdr:spPr>
        <a:xfrm>
          <a:off x="46872525" y="1438275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180975</xdr:colOff>
      <xdr:row>15</xdr:row>
      <xdr:rowOff>28575</xdr:rowOff>
    </xdr:from>
    <xdr:to>
      <xdr:col>109</xdr:col>
      <xdr:colOff>219075</xdr:colOff>
      <xdr:row>15</xdr:row>
      <xdr:rowOff>28575</xdr:rowOff>
    </xdr:to>
    <xdr:sp>
      <xdr:nvSpPr>
        <xdr:cNvPr id="185" name="Line 605"/>
        <xdr:cNvSpPr>
          <a:spLocks/>
        </xdr:cNvSpPr>
      </xdr:nvSpPr>
      <xdr:spPr>
        <a:xfrm flipH="1">
          <a:off x="46815375" y="250507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57150</xdr:colOff>
      <xdr:row>9</xdr:row>
      <xdr:rowOff>142875</xdr:rowOff>
    </xdr:from>
    <xdr:to>
      <xdr:col>105</xdr:col>
      <xdr:colOff>228600</xdr:colOff>
      <xdr:row>11</xdr:row>
      <xdr:rowOff>9525</xdr:rowOff>
    </xdr:to>
    <xdr:sp fLocksText="0" textlink="$AV$26">
      <xdr:nvSpPr>
        <xdr:cNvPr id="186" name="Text Box 606"/>
        <xdr:cNvSpPr txBox="1">
          <a:spLocks noChangeArrowheads="1"/>
        </xdr:cNvSpPr>
      </xdr:nvSpPr>
      <xdr:spPr>
        <a:xfrm>
          <a:off x="46691550" y="1647825"/>
          <a:ext cx="171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fld id="{98515944-c003-420e-b2d8-be2ae5ec7fe7}" type="TxLink"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H3</a:t>
          </a:fld>
        </a:p>
      </xdr:txBody>
    </xdr:sp>
    <xdr:clientData/>
  </xdr:twoCellAnchor>
  <xdr:twoCellAnchor>
    <xdr:from>
      <xdr:col>105</xdr:col>
      <xdr:colOff>371475</xdr:colOff>
      <xdr:row>10</xdr:row>
      <xdr:rowOff>142875</xdr:rowOff>
    </xdr:from>
    <xdr:to>
      <xdr:col>106</xdr:col>
      <xdr:colOff>114300</xdr:colOff>
      <xdr:row>12</xdr:row>
      <xdr:rowOff>9525</xdr:rowOff>
    </xdr:to>
    <xdr:sp fLocksText="0" textlink="$AU$26">
      <xdr:nvSpPr>
        <xdr:cNvPr id="187" name="Text Box 607"/>
        <xdr:cNvSpPr txBox="1">
          <a:spLocks noChangeArrowheads="1"/>
        </xdr:cNvSpPr>
      </xdr:nvSpPr>
      <xdr:spPr>
        <a:xfrm>
          <a:off x="47005875" y="1809750"/>
          <a:ext cx="171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fld id="{cf3bc063-a697-4af2-a4f6-92093a840475}" type="TxLink"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</a:t>
          </a:fld>
        </a:p>
      </xdr:txBody>
    </xdr:sp>
    <xdr:clientData/>
  </xdr:twoCellAnchor>
  <xdr:twoCellAnchor>
    <xdr:from>
      <xdr:col>119</xdr:col>
      <xdr:colOff>200025</xdr:colOff>
      <xdr:row>18</xdr:row>
      <xdr:rowOff>142875</xdr:rowOff>
    </xdr:from>
    <xdr:to>
      <xdr:col>119</xdr:col>
      <xdr:colOff>323850</xdr:colOff>
      <xdr:row>19</xdr:row>
      <xdr:rowOff>47625</xdr:rowOff>
    </xdr:to>
    <xdr:sp>
      <xdr:nvSpPr>
        <xdr:cNvPr id="188" name="AutoShape 608"/>
        <xdr:cNvSpPr>
          <a:spLocks noChangeAspect="1"/>
        </xdr:cNvSpPr>
      </xdr:nvSpPr>
      <xdr:spPr>
        <a:xfrm rot="10800000">
          <a:off x="52825650" y="3105150"/>
          <a:ext cx="123825" cy="666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247650</xdr:colOff>
      <xdr:row>19</xdr:row>
      <xdr:rowOff>47625</xdr:rowOff>
    </xdr:from>
    <xdr:to>
      <xdr:col>122</xdr:col>
      <xdr:colOff>381000</xdr:colOff>
      <xdr:row>19</xdr:row>
      <xdr:rowOff>47625</xdr:rowOff>
    </xdr:to>
    <xdr:sp>
      <xdr:nvSpPr>
        <xdr:cNvPr id="189" name="Line 609"/>
        <xdr:cNvSpPr>
          <a:spLocks/>
        </xdr:cNvSpPr>
      </xdr:nvSpPr>
      <xdr:spPr>
        <a:xfrm flipH="1">
          <a:off x="52435125" y="317182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76200</xdr:colOff>
      <xdr:row>15</xdr:row>
      <xdr:rowOff>123825</xdr:rowOff>
    </xdr:from>
    <xdr:to>
      <xdr:col>119</xdr:col>
      <xdr:colOff>76200</xdr:colOff>
      <xdr:row>19</xdr:row>
      <xdr:rowOff>57150</xdr:rowOff>
    </xdr:to>
    <xdr:sp>
      <xdr:nvSpPr>
        <xdr:cNvPr id="190" name="Line 610"/>
        <xdr:cNvSpPr>
          <a:spLocks/>
        </xdr:cNvSpPr>
      </xdr:nvSpPr>
      <xdr:spPr>
        <a:xfrm>
          <a:off x="52701825" y="260032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238125</xdr:colOff>
      <xdr:row>16</xdr:row>
      <xdr:rowOff>76200</xdr:rowOff>
    </xdr:from>
    <xdr:to>
      <xdr:col>122</xdr:col>
      <xdr:colOff>57150</xdr:colOff>
      <xdr:row>17</xdr:row>
      <xdr:rowOff>104775</xdr:rowOff>
    </xdr:to>
    <xdr:sp>
      <xdr:nvSpPr>
        <xdr:cNvPr id="191" name="Text Box 611"/>
        <xdr:cNvSpPr txBox="1">
          <a:spLocks noChangeArrowheads="1"/>
        </xdr:cNvSpPr>
      </xdr:nvSpPr>
      <xdr:spPr>
        <a:xfrm>
          <a:off x="52863750" y="2714625"/>
          <a:ext cx="1104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本管との接続落差</a:t>
          </a:r>
          <a:r>
            <a:rPr lang="en-US" cap="none" sz="10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※1</a:t>
          </a:r>
        </a:p>
      </xdr:txBody>
    </xdr:sp>
    <xdr:clientData/>
  </xdr:twoCellAnchor>
  <xdr:twoCellAnchor>
    <xdr:from>
      <xdr:col>116</xdr:col>
      <xdr:colOff>361950</xdr:colOff>
      <xdr:row>17</xdr:row>
      <xdr:rowOff>142875</xdr:rowOff>
    </xdr:from>
    <xdr:to>
      <xdr:col>116</xdr:col>
      <xdr:colOff>361950</xdr:colOff>
      <xdr:row>18</xdr:row>
      <xdr:rowOff>152400</xdr:rowOff>
    </xdr:to>
    <xdr:sp>
      <xdr:nvSpPr>
        <xdr:cNvPr id="192" name="Line 612"/>
        <xdr:cNvSpPr>
          <a:spLocks/>
        </xdr:cNvSpPr>
      </xdr:nvSpPr>
      <xdr:spPr>
        <a:xfrm>
          <a:off x="51577875" y="29432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133350</xdr:colOff>
      <xdr:row>17</xdr:row>
      <xdr:rowOff>142875</xdr:rowOff>
    </xdr:from>
    <xdr:to>
      <xdr:col>117</xdr:col>
      <xdr:colOff>295275</xdr:colOff>
      <xdr:row>19</xdr:row>
      <xdr:rowOff>9525</xdr:rowOff>
    </xdr:to>
    <xdr:sp fLocksText="0" textlink="$AL$26">
      <xdr:nvSpPr>
        <xdr:cNvPr id="193" name="Text Box 613"/>
        <xdr:cNvSpPr txBox="1">
          <a:spLocks noChangeArrowheads="1"/>
        </xdr:cNvSpPr>
      </xdr:nvSpPr>
      <xdr:spPr>
        <a:xfrm>
          <a:off x="51892200" y="294322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fld id="{9af5a4af-7363-4204-a2d7-9f0a8f7b33af}" type="TxLink"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h5</a:t>
          </a:fld>
        </a:p>
      </xdr:txBody>
    </xdr:sp>
    <xdr:clientData/>
  </xdr:twoCellAnchor>
  <xdr:twoCellAnchor>
    <xdr:from>
      <xdr:col>113</xdr:col>
      <xdr:colOff>28575</xdr:colOff>
      <xdr:row>8</xdr:row>
      <xdr:rowOff>114300</xdr:rowOff>
    </xdr:from>
    <xdr:to>
      <xdr:col>114</xdr:col>
      <xdr:colOff>266700</xdr:colOff>
      <xdr:row>9</xdr:row>
      <xdr:rowOff>142875</xdr:rowOff>
    </xdr:to>
    <xdr:sp>
      <xdr:nvSpPr>
        <xdr:cNvPr id="194" name="Text Box 615"/>
        <xdr:cNvSpPr txBox="1">
          <a:spLocks noChangeArrowheads="1"/>
        </xdr:cNvSpPr>
      </xdr:nvSpPr>
      <xdr:spPr>
        <a:xfrm>
          <a:off x="50225325" y="1457325"/>
          <a:ext cx="400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道路高</a:t>
          </a:r>
        </a:p>
      </xdr:txBody>
    </xdr:sp>
    <xdr:clientData/>
  </xdr:twoCellAnchor>
  <xdr:twoCellAnchor>
    <xdr:from>
      <xdr:col>105</xdr:col>
      <xdr:colOff>95250</xdr:colOff>
      <xdr:row>7</xdr:row>
      <xdr:rowOff>104775</xdr:rowOff>
    </xdr:from>
    <xdr:to>
      <xdr:col>108</xdr:col>
      <xdr:colOff>257175</xdr:colOff>
      <xdr:row>8</xdr:row>
      <xdr:rowOff>123825</xdr:rowOff>
    </xdr:to>
    <xdr:sp>
      <xdr:nvSpPr>
        <xdr:cNvPr id="195" name="Text Box 616"/>
        <xdr:cNvSpPr txBox="1">
          <a:spLocks noChangeArrowheads="1"/>
        </xdr:cNvSpPr>
      </xdr:nvSpPr>
      <xdr:spPr>
        <a:xfrm>
          <a:off x="46729650" y="1285875"/>
          <a:ext cx="1476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公共桝位置地盤高</a:t>
          </a:r>
        </a:p>
      </xdr:txBody>
    </xdr:sp>
    <xdr:clientData/>
  </xdr:twoCellAnchor>
  <xdr:twoCellAnchor>
    <xdr:from>
      <xdr:col>98</xdr:col>
      <xdr:colOff>371475</xdr:colOff>
      <xdr:row>7</xdr:row>
      <xdr:rowOff>104775</xdr:rowOff>
    </xdr:from>
    <xdr:to>
      <xdr:col>100</xdr:col>
      <xdr:colOff>152400</xdr:colOff>
      <xdr:row>8</xdr:row>
      <xdr:rowOff>123825</xdr:rowOff>
    </xdr:to>
    <xdr:sp>
      <xdr:nvSpPr>
        <xdr:cNvPr id="196" name="Text Box 617"/>
        <xdr:cNvSpPr txBox="1">
          <a:spLocks noChangeArrowheads="1"/>
        </xdr:cNvSpPr>
      </xdr:nvSpPr>
      <xdr:spPr>
        <a:xfrm>
          <a:off x="43738800" y="1285875"/>
          <a:ext cx="638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宅地地盤高</a:t>
          </a:r>
        </a:p>
      </xdr:txBody>
    </xdr:sp>
    <xdr:clientData/>
  </xdr:twoCellAnchor>
  <xdr:twoCellAnchor>
    <xdr:from>
      <xdr:col>111</xdr:col>
      <xdr:colOff>247650</xdr:colOff>
      <xdr:row>4</xdr:row>
      <xdr:rowOff>76200</xdr:rowOff>
    </xdr:from>
    <xdr:to>
      <xdr:col>118</xdr:col>
      <xdr:colOff>209550</xdr:colOff>
      <xdr:row>4</xdr:row>
      <xdr:rowOff>76200</xdr:rowOff>
    </xdr:to>
    <xdr:sp>
      <xdr:nvSpPr>
        <xdr:cNvPr id="197" name="Line 618"/>
        <xdr:cNvSpPr>
          <a:spLocks/>
        </xdr:cNvSpPr>
      </xdr:nvSpPr>
      <xdr:spPr>
        <a:xfrm>
          <a:off x="49587150" y="771525"/>
          <a:ext cx="280987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28575</xdr:colOff>
      <xdr:row>4</xdr:row>
      <xdr:rowOff>0</xdr:rowOff>
    </xdr:from>
    <xdr:to>
      <xdr:col>115</xdr:col>
      <xdr:colOff>104775</xdr:colOff>
      <xdr:row>4</xdr:row>
      <xdr:rowOff>104775</xdr:rowOff>
    </xdr:to>
    <xdr:sp fLocksText="0" textlink="#REF!">
      <xdr:nvSpPr>
        <xdr:cNvPr id="198" name="Text Box 619"/>
        <xdr:cNvSpPr txBox="1">
          <a:spLocks noChangeArrowheads="1"/>
        </xdr:cNvSpPr>
      </xdr:nvSpPr>
      <xdr:spPr>
        <a:xfrm>
          <a:off x="50815875" y="6953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fld id="{948e2c98-d010-4f3f-9e6e-e6cc97faab29}" type="TxLink"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​</a:t>
          </a:fld>
        </a:p>
      </xdr:txBody>
    </xdr:sp>
    <xdr:clientData/>
  </xdr:twoCellAnchor>
  <xdr:twoCellAnchor>
    <xdr:from>
      <xdr:col>111</xdr:col>
      <xdr:colOff>190500</xdr:colOff>
      <xdr:row>6</xdr:row>
      <xdr:rowOff>76200</xdr:rowOff>
    </xdr:from>
    <xdr:to>
      <xdr:col>111</xdr:col>
      <xdr:colOff>390525</xdr:colOff>
      <xdr:row>10</xdr:row>
      <xdr:rowOff>76200</xdr:rowOff>
    </xdr:to>
    <xdr:sp>
      <xdr:nvSpPr>
        <xdr:cNvPr id="199" name="Text Box 629"/>
        <xdr:cNvSpPr txBox="1">
          <a:spLocks noChangeArrowheads="1"/>
        </xdr:cNvSpPr>
      </xdr:nvSpPr>
      <xdr:spPr>
        <a:xfrm>
          <a:off x="49530000" y="1095375"/>
          <a:ext cx="2000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18288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官民境界</a:t>
          </a:r>
        </a:p>
      </xdr:txBody>
    </xdr:sp>
    <xdr:clientData/>
  </xdr:twoCellAnchor>
  <xdr:twoCellAnchor editAs="absolute">
    <xdr:from>
      <xdr:col>29</xdr:col>
      <xdr:colOff>304800</xdr:colOff>
      <xdr:row>12</xdr:row>
      <xdr:rowOff>104775</xdr:rowOff>
    </xdr:from>
    <xdr:to>
      <xdr:col>29</xdr:col>
      <xdr:colOff>304800</xdr:colOff>
      <xdr:row>19</xdr:row>
      <xdr:rowOff>123825</xdr:rowOff>
    </xdr:to>
    <xdr:sp>
      <xdr:nvSpPr>
        <xdr:cNvPr id="200" name="Line 630"/>
        <xdr:cNvSpPr>
          <a:spLocks/>
        </xdr:cNvSpPr>
      </xdr:nvSpPr>
      <xdr:spPr>
        <a:xfrm>
          <a:off x="11772900" y="2095500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30</xdr:col>
      <xdr:colOff>342900</xdr:colOff>
      <xdr:row>18</xdr:row>
      <xdr:rowOff>66675</xdr:rowOff>
    </xdr:from>
    <xdr:to>
      <xdr:col>38</xdr:col>
      <xdr:colOff>104775</xdr:colOff>
      <xdr:row>19</xdr:row>
      <xdr:rowOff>66675</xdr:rowOff>
    </xdr:to>
    <xdr:sp>
      <xdr:nvSpPr>
        <xdr:cNvPr id="201" name="Text Box 634"/>
        <xdr:cNvSpPr txBox="1">
          <a:spLocks noChangeArrowheads="1"/>
        </xdr:cNvSpPr>
      </xdr:nvSpPr>
      <xdr:spPr>
        <a:xfrm>
          <a:off x="12372975" y="3028950"/>
          <a:ext cx="1104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本管最低必要高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EL6</a:t>
          </a:r>
        </a:p>
      </xdr:txBody>
    </xdr:sp>
    <xdr:clientData/>
  </xdr:twoCellAnchor>
  <xdr:twoCellAnchor editAs="absolute">
    <xdr:from>
      <xdr:col>90</xdr:col>
      <xdr:colOff>438150</xdr:colOff>
      <xdr:row>16</xdr:row>
      <xdr:rowOff>123825</xdr:rowOff>
    </xdr:from>
    <xdr:to>
      <xdr:col>95</xdr:col>
      <xdr:colOff>190500</xdr:colOff>
      <xdr:row>19</xdr:row>
      <xdr:rowOff>133350</xdr:rowOff>
    </xdr:to>
    <xdr:sp>
      <xdr:nvSpPr>
        <xdr:cNvPr id="202" name="Text Box 323"/>
        <xdr:cNvSpPr txBox="1">
          <a:spLocks noChangeArrowheads="1"/>
        </xdr:cNvSpPr>
      </xdr:nvSpPr>
      <xdr:spPr>
        <a:xfrm>
          <a:off x="39995475" y="2762250"/>
          <a:ext cx="22764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H1=GH2-EL2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＋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h1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H2=H1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（最低桝深以下の場合は、最低桝深）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H3=GH2-EL4</a:t>
          </a:r>
        </a:p>
      </xdr:txBody>
    </xdr:sp>
    <xdr:clientData/>
  </xdr:twoCellAnchor>
  <xdr:twoCellAnchor editAs="absolute">
    <xdr:from>
      <xdr:col>29</xdr:col>
      <xdr:colOff>57150</xdr:colOff>
      <xdr:row>17</xdr:row>
      <xdr:rowOff>9525</xdr:rowOff>
    </xdr:from>
    <xdr:to>
      <xdr:col>29</xdr:col>
      <xdr:colOff>133350</xdr:colOff>
      <xdr:row>17</xdr:row>
      <xdr:rowOff>142875</xdr:rowOff>
    </xdr:to>
    <xdr:sp>
      <xdr:nvSpPr>
        <xdr:cNvPr id="203" name="Line 225"/>
        <xdr:cNvSpPr>
          <a:spLocks/>
        </xdr:cNvSpPr>
      </xdr:nvSpPr>
      <xdr:spPr>
        <a:xfrm>
          <a:off x="11525250" y="2809875"/>
          <a:ext cx="76200" cy="1333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29</xdr:col>
      <xdr:colOff>180975</xdr:colOff>
      <xdr:row>15</xdr:row>
      <xdr:rowOff>133350</xdr:rowOff>
    </xdr:from>
    <xdr:to>
      <xdr:col>29</xdr:col>
      <xdr:colOff>333375</xdr:colOff>
      <xdr:row>17</xdr:row>
      <xdr:rowOff>47625</xdr:rowOff>
    </xdr:to>
    <xdr:sp>
      <xdr:nvSpPr>
        <xdr:cNvPr id="204" name="Line 225"/>
        <xdr:cNvSpPr>
          <a:spLocks/>
        </xdr:cNvSpPr>
      </xdr:nvSpPr>
      <xdr:spPr>
        <a:xfrm>
          <a:off x="11649075" y="2609850"/>
          <a:ext cx="152400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114300</xdr:colOff>
      <xdr:row>13</xdr:row>
      <xdr:rowOff>9525</xdr:rowOff>
    </xdr:from>
    <xdr:to>
      <xdr:col>82</xdr:col>
      <xdr:colOff>28575</xdr:colOff>
      <xdr:row>20</xdr:row>
      <xdr:rowOff>0</xdr:rowOff>
    </xdr:to>
    <xdr:sp>
      <xdr:nvSpPr>
        <xdr:cNvPr id="205" name="Text Box 757"/>
        <xdr:cNvSpPr txBox="1">
          <a:spLocks noChangeArrowheads="1"/>
        </xdr:cNvSpPr>
      </xdr:nvSpPr>
      <xdr:spPr>
        <a:xfrm>
          <a:off x="31823025" y="2162175"/>
          <a:ext cx="4105275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・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H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＞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1.5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の場合、土留めを計上する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・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B1 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は数量計算用の数値であり、横断図から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の数値である。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・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L4 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は縦断計算用の値であり、個々の延長を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記載している。（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L4=L2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＋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B1 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とはならない）</a:t>
          </a:r>
        </a:p>
      </xdr:txBody>
    </xdr:sp>
    <xdr:clientData/>
  </xdr:twoCellAnchor>
  <xdr:twoCellAnchor>
    <xdr:from>
      <xdr:col>10</xdr:col>
      <xdr:colOff>38100</xdr:colOff>
      <xdr:row>15</xdr:row>
      <xdr:rowOff>66675</xdr:rowOff>
    </xdr:from>
    <xdr:to>
      <xdr:col>19</xdr:col>
      <xdr:colOff>66675</xdr:colOff>
      <xdr:row>20</xdr:row>
      <xdr:rowOff>76200</xdr:rowOff>
    </xdr:to>
    <xdr:sp>
      <xdr:nvSpPr>
        <xdr:cNvPr id="206" name="Text Box 331"/>
        <xdr:cNvSpPr txBox="1">
          <a:spLocks noChangeArrowheads="1"/>
        </xdr:cNvSpPr>
      </xdr:nvSpPr>
      <xdr:spPr>
        <a:xfrm>
          <a:off x="3352800" y="2543175"/>
          <a:ext cx="356235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H1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：宅内側での必要桝深（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GH2-EL2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＋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h1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）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H2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：宅内側での必要桝深（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H1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が最低桝深以下の場合、最低桝深）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H3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：取付管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埋設物等）を考慮した桝深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(GH2-EL4)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L1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：宅内配管延長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L1'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：浄化槽等を考慮する場合の延長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 editAs="absolute">
    <xdr:from>
      <xdr:col>26</xdr:col>
      <xdr:colOff>85725</xdr:colOff>
      <xdr:row>17</xdr:row>
      <xdr:rowOff>133350</xdr:rowOff>
    </xdr:from>
    <xdr:to>
      <xdr:col>27</xdr:col>
      <xdr:colOff>57150</xdr:colOff>
      <xdr:row>18</xdr:row>
      <xdr:rowOff>133350</xdr:rowOff>
    </xdr:to>
    <xdr:sp>
      <xdr:nvSpPr>
        <xdr:cNvPr id="207" name="Text Box 393"/>
        <xdr:cNvSpPr txBox="1">
          <a:spLocks noChangeArrowheads="1"/>
        </xdr:cNvSpPr>
      </xdr:nvSpPr>
      <xdr:spPr>
        <a:xfrm>
          <a:off x="10306050" y="2933700"/>
          <a:ext cx="361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埋設物</a:t>
          </a:r>
        </a:p>
      </xdr:txBody>
    </xdr:sp>
    <xdr:clientData/>
  </xdr:twoCellAnchor>
  <xdr:twoCellAnchor editAs="absolute">
    <xdr:from>
      <xdr:col>25</xdr:col>
      <xdr:colOff>9525</xdr:colOff>
      <xdr:row>13</xdr:row>
      <xdr:rowOff>9525</xdr:rowOff>
    </xdr:from>
    <xdr:to>
      <xdr:col>26</xdr:col>
      <xdr:colOff>19050</xdr:colOff>
      <xdr:row>14</xdr:row>
      <xdr:rowOff>9525</xdr:rowOff>
    </xdr:to>
    <xdr:sp>
      <xdr:nvSpPr>
        <xdr:cNvPr id="208" name="Text Box 393"/>
        <xdr:cNvSpPr txBox="1">
          <a:spLocks noChangeArrowheads="1"/>
        </xdr:cNvSpPr>
      </xdr:nvSpPr>
      <xdr:spPr>
        <a:xfrm>
          <a:off x="9877425" y="2162175"/>
          <a:ext cx="361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埋設物</a:t>
          </a:r>
        </a:p>
      </xdr:txBody>
    </xdr:sp>
    <xdr:clientData/>
  </xdr:twoCellAnchor>
  <xdr:twoCellAnchor>
    <xdr:from>
      <xdr:col>58</xdr:col>
      <xdr:colOff>0</xdr:colOff>
      <xdr:row>4</xdr:row>
      <xdr:rowOff>57150</xdr:rowOff>
    </xdr:from>
    <xdr:to>
      <xdr:col>74</xdr:col>
      <xdr:colOff>590550</xdr:colOff>
      <xdr:row>20</xdr:row>
      <xdr:rowOff>85725</xdr:rowOff>
    </xdr:to>
    <xdr:grpSp>
      <xdr:nvGrpSpPr>
        <xdr:cNvPr id="209" name="グループ化 1"/>
        <xdr:cNvGrpSpPr>
          <a:grpSpLocks/>
        </xdr:cNvGrpSpPr>
      </xdr:nvGrpSpPr>
      <xdr:grpSpPr>
        <a:xfrm>
          <a:off x="21421725" y="752475"/>
          <a:ext cx="9296400" cy="2619375"/>
          <a:chOff x="19262912" y="549275"/>
          <a:chExt cx="12487089" cy="3108325"/>
        </a:xfrm>
        <a:solidFill>
          <a:srgbClr val="FFFFFF"/>
        </a:solidFill>
      </xdr:grpSpPr>
      <xdr:sp>
        <xdr:nvSpPr>
          <xdr:cNvPr id="210" name="Line 710"/>
          <xdr:cNvSpPr>
            <a:spLocks/>
          </xdr:cNvSpPr>
        </xdr:nvSpPr>
        <xdr:spPr>
          <a:xfrm>
            <a:off x="24604264" y="1765407"/>
            <a:ext cx="231635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1" name="Line 711"/>
          <xdr:cNvSpPr>
            <a:spLocks/>
          </xdr:cNvSpPr>
        </xdr:nvSpPr>
        <xdr:spPr>
          <a:xfrm>
            <a:off x="26929985" y="1765407"/>
            <a:ext cx="0" cy="1647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2" name="Line 712"/>
          <xdr:cNvSpPr>
            <a:spLocks/>
          </xdr:cNvSpPr>
        </xdr:nvSpPr>
        <xdr:spPr>
          <a:xfrm>
            <a:off x="26929985" y="1930148"/>
            <a:ext cx="356194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3" name="Rectangle 713"/>
          <xdr:cNvSpPr>
            <a:spLocks/>
          </xdr:cNvSpPr>
        </xdr:nvSpPr>
        <xdr:spPr>
          <a:xfrm>
            <a:off x="27036125" y="1930148"/>
            <a:ext cx="390222" cy="33026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4" name="Rectangle 714"/>
          <xdr:cNvSpPr>
            <a:spLocks/>
          </xdr:cNvSpPr>
        </xdr:nvSpPr>
        <xdr:spPr>
          <a:xfrm>
            <a:off x="26137054" y="1765407"/>
            <a:ext cx="265351" cy="1085583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5" name="Line 715"/>
          <xdr:cNvSpPr>
            <a:spLocks/>
          </xdr:cNvSpPr>
        </xdr:nvSpPr>
        <xdr:spPr>
          <a:xfrm>
            <a:off x="24641726" y="2365314"/>
            <a:ext cx="1495329" cy="6061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6" name="Line 716"/>
          <xdr:cNvSpPr>
            <a:spLocks/>
          </xdr:cNvSpPr>
        </xdr:nvSpPr>
        <xdr:spPr>
          <a:xfrm>
            <a:off x="26402405" y="2648171"/>
            <a:ext cx="3349662" cy="10801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7" name="Line 717"/>
          <xdr:cNvSpPr>
            <a:spLocks/>
          </xdr:cNvSpPr>
        </xdr:nvSpPr>
        <xdr:spPr>
          <a:xfrm>
            <a:off x="26393040" y="2841665"/>
            <a:ext cx="3359027" cy="117339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8" name="Line 718"/>
          <xdr:cNvSpPr>
            <a:spLocks/>
          </xdr:cNvSpPr>
        </xdr:nvSpPr>
        <xdr:spPr>
          <a:xfrm>
            <a:off x="29752067" y="2095667"/>
            <a:ext cx="0" cy="1561933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9" name="Oval 719"/>
          <xdr:cNvSpPr>
            <a:spLocks/>
          </xdr:cNvSpPr>
        </xdr:nvSpPr>
        <xdr:spPr>
          <a:xfrm>
            <a:off x="29561639" y="3152497"/>
            <a:ext cx="380856" cy="386986"/>
          </a:xfrm>
          <a:prstGeom prst="ellips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0" name="Line 720"/>
          <xdr:cNvSpPr>
            <a:spLocks/>
          </xdr:cNvSpPr>
        </xdr:nvSpPr>
        <xdr:spPr>
          <a:xfrm>
            <a:off x="26271291" y="1558704"/>
            <a:ext cx="0" cy="148577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1" name="Line 721"/>
          <xdr:cNvSpPr>
            <a:spLocks/>
          </xdr:cNvSpPr>
        </xdr:nvSpPr>
        <xdr:spPr>
          <a:xfrm flipV="1">
            <a:off x="26271291" y="742768"/>
            <a:ext cx="0" cy="70170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2" name="Line 722"/>
          <xdr:cNvSpPr>
            <a:spLocks/>
          </xdr:cNvSpPr>
        </xdr:nvSpPr>
        <xdr:spPr>
          <a:xfrm flipV="1">
            <a:off x="29733336" y="774629"/>
            <a:ext cx="0" cy="100010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3" name="Line 723"/>
          <xdr:cNvSpPr>
            <a:spLocks/>
          </xdr:cNvSpPr>
        </xdr:nvSpPr>
        <xdr:spPr>
          <a:xfrm>
            <a:off x="26271291" y="832133"/>
            <a:ext cx="349326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4" name="Line 724"/>
          <xdr:cNvSpPr>
            <a:spLocks/>
          </xdr:cNvSpPr>
        </xdr:nvSpPr>
        <xdr:spPr>
          <a:xfrm flipV="1">
            <a:off x="27026760" y="1473225"/>
            <a:ext cx="0" cy="2921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5" name="Line 725"/>
          <xdr:cNvSpPr>
            <a:spLocks/>
          </xdr:cNvSpPr>
        </xdr:nvSpPr>
        <xdr:spPr>
          <a:xfrm>
            <a:off x="26271291" y="1511302"/>
            <a:ext cx="7648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 textlink="#REF!">
        <xdr:nvSpPr>
          <xdr:cNvPr id="226" name="Text Box 726"/>
          <xdr:cNvSpPr txBox="1">
            <a:spLocks noChangeArrowheads="1"/>
          </xdr:cNvSpPr>
        </xdr:nvSpPr>
        <xdr:spPr>
          <a:xfrm>
            <a:off x="19262912" y="1170940"/>
            <a:ext cx="0" cy="2261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fld id="{01ff420e-9b52-4c95-baee-0b88567b5818}" type="TxLink"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​</a:t>
            </a:fld>
          </a:p>
        </xdr:txBody>
      </xdr:sp>
      <xdr:sp fLocksText="0" textlink="#REF!">
        <xdr:nvSpPr>
          <xdr:cNvPr id="227" name="Text Box 727"/>
          <xdr:cNvSpPr txBox="1">
            <a:spLocks noChangeArrowheads="1"/>
          </xdr:cNvSpPr>
        </xdr:nvSpPr>
        <xdr:spPr>
          <a:xfrm flipH="1">
            <a:off x="19262912" y="877203"/>
            <a:ext cx="0" cy="2261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fld id="{bbc65f65-2443-43fe-83ee-71edbab72f37}" type="TxLink"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​</a:t>
            </a:fld>
          </a:p>
        </xdr:txBody>
      </xdr:sp>
      <xdr:sp>
        <xdr:nvSpPr>
          <xdr:cNvPr id="228" name="AutoShape 728"/>
          <xdr:cNvSpPr>
            <a:spLocks noChangeAspect="1"/>
          </xdr:cNvSpPr>
        </xdr:nvSpPr>
        <xdr:spPr>
          <a:xfrm rot="10800000">
            <a:off x="26202612" y="1686145"/>
            <a:ext cx="124871" cy="79262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 textlink="#REF!">
        <xdr:nvSpPr>
          <xdr:cNvPr id="229" name="Text Box 729"/>
          <xdr:cNvSpPr txBox="1">
            <a:spLocks noChangeArrowheads="1"/>
          </xdr:cNvSpPr>
        </xdr:nvSpPr>
        <xdr:spPr>
          <a:xfrm>
            <a:off x="19262912" y="1340344"/>
            <a:ext cx="0" cy="2144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fld id="{78d3434f-327b-4681-92c3-d6114b1d2f1b}" type="TxLink"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​</a:t>
            </a:fld>
          </a:p>
        </xdr:txBody>
      </xdr:sp>
      <xdr:sp>
        <xdr:nvSpPr>
          <xdr:cNvPr id="230" name="AutoShape 730"/>
          <xdr:cNvSpPr>
            <a:spLocks noChangeAspect="1"/>
          </xdr:cNvSpPr>
        </xdr:nvSpPr>
        <xdr:spPr>
          <a:xfrm rot="10800000">
            <a:off x="27544974" y="1841561"/>
            <a:ext cx="96775" cy="7615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 textlink="#REF!">
        <xdr:nvSpPr>
          <xdr:cNvPr id="231" name="Text Box 731"/>
          <xdr:cNvSpPr txBox="1">
            <a:spLocks noChangeArrowheads="1"/>
          </xdr:cNvSpPr>
        </xdr:nvSpPr>
        <xdr:spPr>
          <a:xfrm>
            <a:off x="19262912" y="1419606"/>
            <a:ext cx="0" cy="2144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fld id="{5e629e76-7737-4153-8664-825c3f4b0708}" type="TxLink"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​</a:t>
            </a:fld>
          </a:p>
        </xdr:txBody>
      </xdr:sp>
      <xdr:sp>
        <xdr:nvSpPr>
          <xdr:cNvPr id="232" name="Line 732"/>
          <xdr:cNvSpPr>
            <a:spLocks/>
          </xdr:cNvSpPr>
        </xdr:nvSpPr>
        <xdr:spPr>
          <a:xfrm>
            <a:off x="24632360" y="2520730"/>
            <a:ext cx="1504694" cy="5750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3" name="AutoShape 733"/>
          <xdr:cNvSpPr>
            <a:spLocks noChangeAspect="1"/>
          </xdr:cNvSpPr>
        </xdr:nvSpPr>
        <xdr:spPr>
          <a:xfrm rot="10800000">
            <a:off x="25341003" y="2774836"/>
            <a:ext cx="146723" cy="7615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 textlink="#REF!">
        <xdr:nvSpPr>
          <xdr:cNvPr id="234" name="Text Box 734"/>
          <xdr:cNvSpPr txBox="1">
            <a:spLocks noChangeArrowheads="1"/>
          </xdr:cNvSpPr>
        </xdr:nvSpPr>
        <xdr:spPr>
          <a:xfrm>
            <a:off x="19262912" y="1860211"/>
            <a:ext cx="0" cy="2261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fld id="{a18755a2-2d1a-41cf-816c-f8304072f787}" type="TxLink"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​</a:t>
            </a:fld>
          </a:p>
        </xdr:txBody>
      </xdr:sp>
      <xdr:sp>
        <xdr:nvSpPr>
          <xdr:cNvPr id="235" name="AutoShape 735"/>
          <xdr:cNvSpPr>
            <a:spLocks noChangeAspect="1"/>
          </xdr:cNvSpPr>
        </xdr:nvSpPr>
        <xdr:spPr>
          <a:xfrm rot="10800000">
            <a:off x="30067366" y="2879742"/>
            <a:ext cx="143602" cy="79262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 textlink="#REF!">
        <xdr:nvSpPr>
          <xdr:cNvPr id="236" name="Text Box 736"/>
          <xdr:cNvSpPr txBox="1">
            <a:spLocks noChangeArrowheads="1"/>
          </xdr:cNvSpPr>
        </xdr:nvSpPr>
        <xdr:spPr>
          <a:xfrm flipH="1">
            <a:off x="19262912" y="1916938"/>
            <a:ext cx="0" cy="2144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fld id="{ae756ca1-5300-46f6-a057-1901945bf937}" type="TxLink"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​</a:t>
            </a:fld>
          </a:p>
        </xdr:txBody>
      </xdr:sp>
      <xdr:sp>
        <xdr:nvSpPr>
          <xdr:cNvPr id="237" name="Line 737"/>
          <xdr:cNvSpPr>
            <a:spLocks/>
          </xdr:cNvSpPr>
        </xdr:nvSpPr>
        <xdr:spPr>
          <a:xfrm flipH="1">
            <a:off x="29733336" y="2959004"/>
            <a:ext cx="18668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8" name="Text Box 738"/>
          <xdr:cNvSpPr txBox="1">
            <a:spLocks noChangeArrowheads="1"/>
          </xdr:cNvSpPr>
        </xdr:nvSpPr>
        <xdr:spPr>
          <a:xfrm>
            <a:off x="30676111" y="2787269"/>
            <a:ext cx="1073890" cy="1919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縦断図表示高さ</a:t>
            </a:r>
          </a:p>
        </xdr:txBody>
      </xdr:sp>
      <xdr:sp>
        <xdr:nvSpPr>
          <xdr:cNvPr id="239" name="Line 739"/>
          <xdr:cNvSpPr>
            <a:spLocks/>
          </xdr:cNvSpPr>
        </xdr:nvSpPr>
        <xdr:spPr>
          <a:xfrm>
            <a:off x="26986177" y="1917715"/>
            <a:ext cx="0" cy="10886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 textlink="#REF!">
        <xdr:nvSpPr>
          <xdr:cNvPr id="240" name="Text Box 740"/>
          <xdr:cNvSpPr txBox="1">
            <a:spLocks noChangeArrowheads="1"/>
          </xdr:cNvSpPr>
        </xdr:nvSpPr>
        <xdr:spPr>
          <a:xfrm>
            <a:off x="19262912" y="1713343"/>
            <a:ext cx="0" cy="2144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fld id="{f56b8f03-2617-44ab-aeb6-7b45900407b2}" type="TxLink"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​</a:t>
            </a:fld>
          </a:p>
        </xdr:txBody>
      </xdr:sp>
      <xdr:sp>
        <xdr:nvSpPr>
          <xdr:cNvPr id="241" name="Text Box 741"/>
          <xdr:cNvSpPr txBox="1">
            <a:spLocks noChangeArrowheads="1"/>
          </xdr:cNvSpPr>
        </xdr:nvSpPr>
        <xdr:spPr>
          <a:xfrm>
            <a:off x="27732280" y="2481876"/>
            <a:ext cx="842879" cy="1919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勾配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％</a:t>
            </a:r>
          </a:p>
        </xdr:txBody>
      </xdr:sp>
      <xdr:sp fLocksText="0" textlink="#REF!">
        <xdr:nvSpPr>
          <xdr:cNvPr id="242" name="Text Box 742"/>
          <xdr:cNvSpPr txBox="1">
            <a:spLocks noChangeArrowheads="1"/>
          </xdr:cNvSpPr>
        </xdr:nvSpPr>
        <xdr:spPr>
          <a:xfrm>
            <a:off x="28013240" y="2481876"/>
            <a:ext cx="165454" cy="2035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fld id="{7c047a06-c549-45dc-8d50-84704e66b673}" type="TxLink"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​</a:t>
            </a:fld>
          </a:p>
        </xdr:txBody>
      </xdr:sp>
      <xdr:sp>
        <xdr:nvSpPr>
          <xdr:cNvPr id="243" name="Text Box 743"/>
          <xdr:cNvSpPr txBox="1">
            <a:spLocks noChangeArrowheads="1"/>
          </xdr:cNvSpPr>
        </xdr:nvSpPr>
        <xdr:spPr>
          <a:xfrm>
            <a:off x="27591800" y="651073"/>
            <a:ext cx="1470355" cy="1694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取付管</a:t>
            </a:r>
          </a:p>
        </xdr:txBody>
      </xdr:sp>
      <xdr:sp>
        <xdr:nvSpPr>
          <xdr:cNvPr id="244" name="Text Box 744"/>
          <xdr:cNvSpPr txBox="1">
            <a:spLocks noChangeArrowheads="1"/>
          </xdr:cNvSpPr>
        </xdr:nvSpPr>
        <xdr:spPr>
          <a:xfrm>
            <a:off x="26043401" y="571810"/>
            <a:ext cx="1036428" cy="1919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公共桝</a:t>
            </a:r>
          </a:p>
        </xdr:txBody>
      </xdr:sp>
      <xdr:sp>
        <xdr:nvSpPr>
          <xdr:cNvPr id="245" name="Text Box 745"/>
          <xdr:cNvSpPr txBox="1">
            <a:spLocks noChangeArrowheads="1"/>
          </xdr:cNvSpPr>
        </xdr:nvSpPr>
        <xdr:spPr>
          <a:xfrm>
            <a:off x="29586613" y="549275"/>
            <a:ext cx="870974" cy="1919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本管</a:t>
            </a:r>
          </a:p>
        </xdr:txBody>
      </xdr:sp>
      <xdr:sp>
        <xdr:nvSpPr>
          <xdr:cNvPr id="246" name="Line 746"/>
          <xdr:cNvSpPr>
            <a:spLocks/>
          </xdr:cNvSpPr>
        </xdr:nvSpPr>
        <xdr:spPr>
          <a:xfrm flipH="1">
            <a:off x="25331637" y="2841665"/>
            <a:ext cx="8147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7" name="AutoShape 747"/>
          <xdr:cNvSpPr>
            <a:spLocks noChangeAspect="1"/>
          </xdr:cNvSpPr>
        </xdr:nvSpPr>
        <xdr:spPr>
          <a:xfrm rot="10800000">
            <a:off x="30132923" y="3444680"/>
            <a:ext cx="124871" cy="7615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8" name="Line 748"/>
          <xdr:cNvSpPr>
            <a:spLocks/>
          </xdr:cNvSpPr>
        </xdr:nvSpPr>
        <xdr:spPr>
          <a:xfrm flipH="1">
            <a:off x="29752067" y="3520834"/>
            <a:ext cx="18387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9" name="Text Box 749"/>
          <xdr:cNvSpPr txBox="1">
            <a:spLocks noChangeArrowheads="1"/>
          </xdr:cNvSpPr>
        </xdr:nvSpPr>
        <xdr:spPr>
          <a:xfrm>
            <a:off x="30292133" y="3318793"/>
            <a:ext cx="1048915" cy="1810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本管最低必要高</a:t>
            </a:r>
          </a:p>
        </xdr:txBody>
      </xdr:sp>
      <xdr:sp>
        <xdr:nvSpPr>
          <xdr:cNvPr id="250" name="Line 750"/>
          <xdr:cNvSpPr>
            <a:spLocks/>
          </xdr:cNvSpPr>
        </xdr:nvSpPr>
        <xdr:spPr>
          <a:xfrm>
            <a:off x="30001809" y="2940354"/>
            <a:ext cx="0" cy="5812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1" name="Text Box 752"/>
          <xdr:cNvSpPr txBox="1">
            <a:spLocks noChangeArrowheads="1"/>
          </xdr:cNvSpPr>
        </xdr:nvSpPr>
        <xdr:spPr>
          <a:xfrm>
            <a:off x="27669845" y="1770070"/>
            <a:ext cx="920923" cy="1919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道路高</a:t>
            </a:r>
          </a:p>
        </xdr:txBody>
      </xdr:sp>
      <xdr:sp>
        <xdr:nvSpPr>
          <xdr:cNvPr id="252" name="Text Box 753"/>
          <xdr:cNvSpPr txBox="1">
            <a:spLocks noChangeArrowheads="1"/>
          </xdr:cNvSpPr>
        </xdr:nvSpPr>
        <xdr:spPr>
          <a:xfrm>
            <a:off x="24676065" y="1600666"/>
            <a:ext cx="1329875" cy="1919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公共桝位置地盤高</a:t>
            </a:r>
          </a:p>
        </xdr:txBody>
      </xdr:sp>
      <xdr:sp>
        <xdr:nvSpPr>
          <xdr:cNvPr id="253" name="Line 754"/>
          <xdr:cNvSpPr>
            <a:spLocks/>
          </xdr:cNvSpPr>
        </xdr:nvSpPr>
        <xdr:spPr>
          <a:xfrm flipV="1">
            <a:off x="27026760" y="1190367"/>
            <a:ext cx="0" cy="26343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4" name="Oval 755"/>
          <xdr:cNvSpPr>
            <a:spLocks/>
          </xdr:cNvSpPr>
        </xdr:nvSpPr>
        <xdr:spPr>
          <a:xfrm>
            <a:off x="26986177" y="1104888"/>
            <a:ext cx="96775" cy="9558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5" name="Text Box 756"/>
          <xdr:cNvSpPr txBox="1">
            <a:spLocks noChangeArrowheads="1"/>
          </xdr:cNvSpPr>
        </xdr:nvSpPr>
        <xdr:spPr>
          <a:xfrm>
            <a:off x="26761409" y="843012"/>
            <a:ext cx="1036428" cy="2144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官民境界</a:t>
            </a:r>
          </a:p>
        </xdr:txBody>
      </xdr:sp>
      <xdr:sp>
        <xdr:nvSpPr>
          <xdr:cNvPr id="256" name="Text Box 757"/>
          <xdr:cNvSpPr txBox="1">
            <a:spLocks noChangeArrowheads="1"/>
          </xdr:cNvSpPr>
        </xdr:nvSpPr>
        <xdr:spPr>
          <a:xfrm>
            <a:off x="26517911" y="2165604"/>
            <a:ext cx="590015" cy="1919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掘削深</a:t>
            </a:r>
          </a:p>
        </xdr:txBody>
      </xdr:sp>
      <xdr:sp>
        <xdr:nvSpPr>
          <xdr:cNvPr id="257" name="Line 758"/>
          <xdr:cNvSpPr>
            <a:spLocks/>
          </xdr:cNvSpPr>
        </xdr:nvSpPr>
        <xdr:spPr>
          <a:xfrm>
            <a:off x="26611564" y="2997081"/>
            <a:ext cx="1048915" cy="2875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8" name="Line 725"/>
          <xdr:cNvSpPr>
            <a:spLocks/>
          </xdr:cNvSpPr>
        </xdr:nvSpPr>
        <xdr:spPr>
          <a:xfrm>
            <a:off x="27057977" y="1511302"/>
            <a:ext cx="26722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 textlink="#REF!">
        <xdr:nvSpPr>
          <xdr:cNvPr id="259" name="Text Box 726"/>
          <xdr:cNvSpPr txBox="1">
            <a:spLocks noChangeArrowheads="1"/>
          </xdr:cNvSpPr>
        </xdr:nvSpPr>
        <xdr:spPr>
          <a:xfrm>
            <a:off x="19262912" y="1170940"/>
            <a:ext cx="0" cy="2144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fld id="{2246abeb-6127-465d-9efd-7625664f3ff0}" type="TxLink"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​</a:t>
            </a:fld>
          </a:p>
        </xdr:txBody>
      </xdr:sp>
      <xdr:sp>
        <xdr:nvSpPr>
          <xdr:cNvPr id="260" name="Text Box 743"/>
          <xdr:cNvSpPr txBox="1">
            <a:spLocks noChangeArrowheads="1"/>
          </xdr:cNvSpPr>
        </xdr:nvSpPr>
        <xdr:spPr>
          <a:xfrm>
            <a:off x="27950804" y="1103334"/>
            <a:ext cx="1457868" cy="3053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横断図より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16563975" y="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5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165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65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5" name="Freeform 5"/>
        <xdr:cNvSpPr>
          <a:spLocks/>
        </xdr:cNvSpPr>
      </xdr:nvSpPr>
      <xdr:spPr>
        <a:xfrm>
          <a:off x="16563975" y="0"/>
          <a:ext cx="0" cy="0"/>
        </a:xfrm>
        <a:custGeom>
          <a:pathLst>
            <a:path h="11" w="18">
              <a:moveTo>
                <a:pt x="0" y="11"/>
              </a:moveTo>
              <a:cubicBezTo>
                <a:pt x="3" y="7"/>
                <a:pt x="6" y="3"/>
                <a:pt x="18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" name="Freeform 6"/>
        <xdr:cNvSpPr>
          <a:spLocks/>
        </xdr:cNvSpPr>
      </xdr:nvSpPr>
      <xdr:spPr>
        <a:xfrm>
          <a:off x="16563975" y="0"/>
          <a:ext cx="0" cy="0"/>
        </a:xfrm>
        <a:custGeom>
          <a:pathLst>
            <a:path h="4" w="7">
              <a:moveTo>
                <a:pt x="0" y="4"/>
              </a:moveTo>
              <a:cubicBezTo>
                <a:pt x="1" y="2"/>
                <a:pt x="3" y="0"/>
                <a:pt x="7" y="1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65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65639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165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165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1" name="Freeform 11"/>
        <xdr:cNvSpPr>
          <a:spLocks/>
        </xdr:cNvSpPr>
      </xdr:nvSpPr>
      <xdr:spPr>
        <a:xfrm>
          <a:off x="16563975" y="0"/>
          <a:ext cx="0" cy="0"/>
        </a:xfrm>
        <a:custGeom>
          <a:pathLst>
            <a:path h="6" w="3">
              <a:moveTo>
                <a:pt x="0" y="0"/>
              </a:moveTo>
              <a:cubicBezTo>
                <a:pt x="1" y="1"/>
                <a:pt x="3" y="3"/>
                <a:pt x="0" y="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2" name="Oval 12"/>
        <xdr:cNvSpPr>
          <a:spLocks/>
        </xdr:cNvSpPr>
      </xdr:nvSpPr>
      <xdr:spPr>
        <a:xfrm>
          <a:off x="16563975" y="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65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165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65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165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65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8" name="Line 21"/>
        <xdr:cNvSpPr>
          <a:spLocks/>
        </xdr:cNvSpPr>
      </xdr:nvSpPr>
      <xdr:spPr>
        <a:xfrm>
          <a:off x="165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" name="Line 24"/>
        <xdr:cNvSpPr>
          <a:spLocks/>
        </xdr:cNvSpPr>
      </xdr:nvSpPr>
      <xdr:spPr>
        <a:xfrm flipH="1">
          <a:off x="165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" name="Line 25"/>
        <xdr:cNvSpPr>
          <a:spLocks/>
        </xdr:cNvSpPr>
      </xdr:nvSpPr>
      <xdr:spPr>
        <a:xfrm flipH="1">
          <a:off x="165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1" name="Line 26"/>
        <xdr:cNvSpPr>
          <a:spLocks/>
        </xdr:cNvSpPr>
      </xdr:nvSpPr>
      <xdr:spPr>
        <a:xfrm flipV="1">
          <a:off x="165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2" name="Rectangle 47"/>
        <xdr:cNvSpPr>
          <a:spLocks/>
        </xdr:cNvSpPr>
      </xdr:nvSpPr>
      <xdr:spPr>
        <a:xfrm>
          <a:off x="165639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3" name="Oval 48"/>
        <xdr:cNvSpPr>
          <a:spLocks/>
        </xdr:cNvSpPr>
      </xdr:nvSpPr>
      <xdr:spPr>
        <a:xfrm>
          <a:off x="16563975" y="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4" name="Line 50"/>
        <xdr:cNvSpPr>
          <a:spLocks/>
        </xdr:cNvSpPr>
      </xdr:nvSpPr>
      <xdr:spPr>
        <a:xfrm>
          <a:off x="165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76200</xdr:colOff>
      <xdr:row>0</xdr:row>
      <xdr:rowOff>0</xdr:rowOff>
    </xdr:to>
    <xdr:sp>
      <xdr:nvSpPr>
        <xdr:cNvPr id="25" name="Rectangle 70"/>
        <xdr:cNvSpPr>
          <a:spLocks/>
        </xdr:cNvSpPr>
      </xdr:nvSpPr>
      <xdr:spPr>
        <a:xfrm>
          <a:off x="145923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0</xdr:row>
      <xdr:rowOff>0</xdr:rowOff>
    </xdr:from>
    <xdr:to>
      <xdr:col>12</xdr:col>
      <xdr:colOff>123825</xdr:colOff>
      <xdr:row>0</xdr:row>
      <xdr:rowOff>0</xdr:rowOff>
    </xdr:to>
    <xdr:sp>
      <xdr:nvSpPr>
        <xdr:cNvPr id="26" name="Line 74"/>
        <xdr:cNvSpPr>
          <a:spLocks/>
        </xdr:cNvSpPr>
      </xdr:nvSpPr>
      <xdr:spPr>
        <a:xfrm flipH="1">
          <a:off x="1049655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0</xdr:row>
      <xdr:rowOff>0</xdr:rowOff>
    </xdr:from>
    <xdr:to>
      <xdr:col>19</xdr:col>
      <xdr:colOff>428625</xdr:colOff>
      <xdr:row>0</xdr:row>
      <xdr:rowOff>0</xdr:rowOff>
    </xdr:to>
    <xdr:sp>
      <xdr:nvSpPr>
        <xdr:cNvPr id="27" name="Line 82"/>
        <xdr:cNvSpPr>
          <a:spLocks/>
        </xdr:cNvSpPr>
      </xdr:nvSpPr>
      <xdr:spPr>
        <a:xfrm>
          <a:off x="1459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390525</xdr:colOff>
      <xdr:row>0</xdr:row>
      <xdr:rowOff>0</xdr:rowOff>
    </xdr:from>
    <xdr:to>
      <xdr:col>19</xdr:col>
      <xdr:colOff>390525</xdr:colOff>
      <xdr:row>0</xdr:row>
      <xdr:rowOff>0</xdr:rowOff>
    </xdr:to>
    <xdr:sp>
      <xdr:nvSpPr>
        <xdr:cNvPr id="28" name="Line 84"/>
        <xdr:cNvSpPr>
          <a:spLocks/>
        </xdr:cNvSpPr>
      </xdr:nvSpPr>
      <xdr:spPr>
        <a:xfrm>
          <a:off x="1459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76200</xdr:colOff>
      <xdr:row>0</xdr:row>
      <xdr:rowOff>0</xdr:rowOff>
    </xdr:to>
    <xdr:sp>
      <xdr:nvSpPr>
        <xdr:cNvPr id="29" name="Rectangle 89"/>
        <xdr:cNvSpPr>
          <a:spLocks/>
        </xdr:cNvSpPr>
      </xdr:nvSpPr>
      <xdr:spPr>
        <a:xfrm>
          <a:off x="145923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0</xdr:row>
      <xdr:rowOff>0</xdr:rowOff>
    </xdr:from>
    <xdr:to>
      <xdr:col>12</xdr:col>
      <xdr:colOff>123825</xdr:colOff>
      <xdr:row>0</xdr:row>
      <xdr:rowOff>0</xdr:rowOff>
    </xdr:to>
    <xdr:sp>
      <xdr:nvSpPr>
        <xdr:cNvPr id="30" name="Line 93"/>
        <xdr:cNvSpPr>
          <a:spLocks/>
        </xdr:cNvSpPr>
      </xdr:nvSpPr>
      <xdr:spPr>
        <a:xfrm flipH="1">
          <a:off x="1049655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0</xdr:row>
      <xdr:rowOff>0</xdr:rowOff>
    </xdr:from>
    <xdr:to>
      <xdr:col>19</xdr:col>
      <xdr:colOff>428625</xdr:colOff>
      <xdr:row>0</xdr:row>
      <xdr:rowOff>0</xdr:rowOff>
    </xdr:to>
    <xdr:sp>
      <xdr:nvSpPr>
        <xdr:cNvPr id="31" name="Line 101"/>
        <xdr:cNvSpPr>
          <a:spLocks/>
        </xdr:cNvSpPr>
      </xdr:nvSpPr>
      <xdr:spPr>
        <a:xfrm>
          <a:off x="1459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2" name="Line 103"/>
        <xdr:cNvSpPr>
          <a:spLocks/>
        </xdr:cNvSpPr>
      </xdr:nvSpPr>
      <xdr:spPr>
        <a:xfrm flipV="1">
          <a:off x="10382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390525</xdr:colOff>
      <xdr:row>0</xdr:row>
      <xdr:rowOff>0</xdr:rowOff>
    </xdr:from>
    <xdr:to>
      <xdr:col>19</xdr:col>
      <xdr:colOff>390525</xdr:colOff>
      <xdr:row>0</xdr:row>
      <xdr:rowOff>0</xdr:rowOff>
    </xdr:to>
    <xdr:sp>
      <xdr:nvSpPr>
        <xdr:cNvPr id="33" name="Line 104"/>
        <xdr:cNvSpPr>
          <a:spLocks/>
        </xdr:cNvSpPr>
      </xdr:nvSpPr>
      <xdr:spPr>
        <a:xfrm>
          <a:off x="1459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18</xdr:row>
      <xdr:rowOff>0</xdr:rowOff>
    </xdr:from>
    <xdr:to>
      <xdr:col>19</xdr:col>
      <xdr:colOff>76200</xdr:colOff>
      <xdr:row>19</xdr:row>
      <xdr:rowOff>180975</xdr:rowOff>
    </xdr:to>
    <xdr:sp>
      <xdr:nvSpPr>
        <xdr:cNvPr id="34" name="Rectangle 109"/>
        <xdr:cNvSpPr>
          <a:spLocks/>
        </xdr:cNvSpPr>
      </xdr:nvSpPr>
      <xdr:spPr>
        <a:xfrm>
          <a:off x="14592300" y="8991600"/>
          <a:ext cx="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19</xdr:row>
      <xdr:rowOff>95250</xdr:rowOff>
    </xdr:from>
    <xdr:to>
      <xdr:col>19</xdr:col>
      <xdr:colOff>428625</xdr:colOff>
      <xdr:row>19</xdr:row>
      <xdr:rowOff>95250</xdr:rowOff>
    </xdr:to>
    <xdr:sp>
      <xdr:nvSpPr>
        <xdr:cNvPr id="35" name="Line 122"/>
        <xdr:cNvSpPr>
          <a:spLocks/>
        </xdr:cNvSpPr>
      </xdr:nvSpPr>
      <xdr:spPr>
        <a:xfrm>
          <a:off x="14592300" y="942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390525</xdr:colOff>
      <xdr:row>18</xdr:row>
      <xdr:rowOff>9525</xdr:rowOff>
    </xdr:from>
    <xdr:to>
      <xdr:col>19</xdr:col>
      <xdr:colOff>390525</xdr:colOff>
      <xdr:row>19</xdr:row>
      <xdr:rowOff>95250</xdr:rowOff>
    </xdr:to>
    <xdr:sp>
      <xdr:nvSpPr>
        <xdr:cNvPr id="36" name="Line 125"/>
        <xdr:cNvSpPr>
          <a:spLocks/>
        </xdr:cNvSpPr>
      </xdr:nvSpPr>
      <xdr:spPr>
        <a:xfrm>
          <a:off x="14592300" y="90011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7" name="Line 168"/>
        <xdr:cNvSpPr>
          <a:spLocks/>
        </xdr:cNvSpPr>
      </xdr:nvSpPr>
      <xdr:spPr>
        <a:xfrm>
          <a:off x="10382250" y="0"/>
          <a:ext cx="0" cy="0"/>
        </a:xfrm>
        <a:prstGeom prst="lin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76200</xdr:colOff>
      <xdr:row>0</xdr:row>
      <xdr:rowOff>0</xdr:rowOff>
    </xdr:to>
    <xdr:sp>
      <xdr:nvSpPr>
        <xdr:cNvPr id="38" name="Rectangle 171"/>
        <xdr:cNvSpPr>
          <a:spLocks/>
        </xdr:cNvSpPr>
      </xdr:nvSpPr>
      <xdr:spPr>
        <a:xfrm>
          <a:off x="145923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0</xdr:row>
      <xdr:rowOff>0</xdr:rowOff>
    </xdr:from>
    <xdr:to>
      <xdr:col>12</xdr:col>
      <xdr:colOff>123825</xdr:colOff>
      <xdr:row>0</xdr:row>
      <xdr:rowOff>0</xdr:rowOff>
    </xdr:to>
    <xdr:sp>
      <xdr:nvSpPr>
        <xdr:cNvPr id="39" name="Line 175"/>
        <xdr:cNvSpPr>
          <a:spLocks/>
        </xdr:cNvSpPr>
      </xdr:nvSpPr>
      <xdr:spPr>
        <a:xfrm flipH="1">
          <a:off x="1049655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0</xdr:row>
      <xdr:rowOff>0</xdr:rowOff>
    </xdr:from>
    <xdr:to>
      <xdr:col>19</xdr:col>
      <xdr:colOff>428625</xdr:colOff>
      <xdr:row>0</xdr:row>
      <xdr:rowOff>0</xdr:rowOff>
    </xdr:to>
    <xdr:sp>
      <xdr:nvSpPr>
        <xdr:cNvPr id="40" name="Line 185"/>
        <xdr:cNvSpPr>
          <a:spLocks/>
        </xdr:cNvSpPr>
      </xdr:nvSpPr>
      <xdr:spPr>
        <a:xfrm>
          <a:off x="1459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390525</xdr:colOff>
      <xdr:row>0</xdr:row>
      <xdr:rowOff>0</xdr:rowOff>
    </xdr:from>
    <xdr:to>
      <xdr:col>19</xdr:col>
      <xdr:colOff>390525</xdr:colOff>
      <xdr:row>0</xdr:row>
      <xdr:rowOff>0</xdr:rowOff>
    </xdr:to>
    <xdr:sp>
      <xdr:nvSpPr>
        <xdr:cNvPr id="41" name="Line 186"/>
        <xdr:cNvSpPr>
          <a:spLocks/>
        </xdr:cNvSpPr>
      </xdr:nvSpPr>
      <xdr:spPr>
        <a:xfrm>
          <a:off x="1459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76200</xdr:colOff>
      <xdr:row>0</xdr:row>
      <xdr:rowOff>0</xdr:rowOff>
    </xdr:from>
    <xdr:to>
      <xdr:col>12</xdr:col>
      <xdr:colOff>647700</xdr:colOff>
      <xdr:row>0</xdr:row>
      <xdr:rowOff>0</xdr:rowOff>
    </xdr:to>
    <xdr:sp>
      <xdr:nvSpPr>
        <xdr:cNvPr id="42" name="Line 189"/>
        <xdr:cNvSpPr>
          <a:spLocks/>
        </xdr:cNvSpPr>
      </xdr:nvSpPr>
      <xdr:spPr>
        <a:xfrm flipV="1">
          <a:off x="10458450" y="0"/>
          <a:ext cx="571500" cy="0"/>
        </a:xfrm>
        <a:prstGeom prst="lin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0</xdr:row>
      <xdr:rowOff>0</xdr:rowOff>
    </xdr:from>
    <xdr:to>
      <xdr:col>12</xdr:col>
      <xdr:colOff>666750</xdr:colOff>
      <xdr:row>0</xdr:row>
      <xdr:rowOff>0</xdr:rowOff>
    </xdr:to>
    <xdr:sp>
      <xdr:nvSpPr>
        <xdr:cNvPr id="43" name="Line 190"/>
        <xdr:cNvSpPr>
          <a:spLocks/>
        </xdr:cNvSpPr>
      </xdr:nvSpPr>
      <xdr:spPr>
        <a:xfrm flipV="1">
          <a:off x="10448925" y="0"/>
          <a:ext cx="600075" cy="0"/>
        </a:xfrm>
        <a:prstGeom prst="lin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4" name="Line 191"/>
        <xdr:cNvSpPr>
          <a:spLocks/>
        </xdr:cNvSpPr>
      </xdr:nvSpPr>
      <xdr:spPr>
        <a:xfrm>
          <a:off x="10382250" y="0"/>
          <a:ext cx="0" cy="0"/>
        </a:xfrm>
        <a:prstGeom prst="lin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5" name="Line 193"/>
        <xdr:cNvSpPr>
          <a:spLocks/>
        </xdr:cNvSpPr>
      </xdr:nvSpPr>
      <xdr:spPr>
        <a:xfrm>
          <a:off x="10382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76200</xdr:colOff>
      <xdr:row>0</xdr:row>
      <xdr:rowOff>0</xdr:rowOff>
    </xdr:to>
    <xdr:sp>
      <xdr:nvSpPr>
        <xdr:cNvPr id="46" name="Rectangle 197"/>
        <xdr:cNvSpPr>
          <a:spLocks/>
        </xdr:cNvSpPr>
      </xdr:nvSpPr>
      <xdr:spPr>
        <a:xfrm>
          <a:off x="145923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0</xdr:row>
      <xdr:rowOff>0</xdr:rowOff>
    </xdr:from>
    <xdr:to>
      <xdr:col>12</xdr:col>
      <xdr:colOff>123825</xdr:colOff>
      <xdr:row>0</xdr:row>
      <xdr:rowOff>0</xdr:rowOff>
    </xdr:to>
    <xdr:sp>
      <xdr:nvSpPr>
        <xdr:cNvPr id="47" name="Line 201"/>
        <xdr:cNvSpPr>
          <a:spLocks/>
        </xdr:cNvSpPr>
      </xdr:nvSpPr>
      <xdr:spPr>
        <a:xfrm flipH="1">
          <a:off x="1049655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0</xdr:row>
      <xdr:rowOff>0</xdr:rowOff>
    </xdr:from>
    <xdr:to>
      <xdr:col>19</xdr:col>
      <xdr:colOff>428625</xdr:colOff>
      <xdr:row>0</xdr:row>
      <xdr:rowOff>0</xdr:rowOff>
    </xdr:to>
    <xdr:sp>
      <xdr:nvSpPr>
        <xdr:cNvPr id="48" name="Line 209"/>
        <xdr:cNvSpPr>
          <a:spLocks/>
        </xdr:cNvSpPr>
      </xdr:nvSpPr>
      <xdr:spPr>
        <a:xfrm>
          <a:off x="1459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390525</xdr:colOff>
      <xdr:row>0</xdr:row>
      <xdr:rowOff>0</xdr:rowOff>
    </xdr:from>
    <xdr:to>
      <xdr:col>19</xdr:col>
      <xdr:colOff>390525</xdr:colOff>
      <xdr:row>0</xdr:row>
      <xdr:rowOff>0</xdr:rowOff>
    </xdr:to>
    <xdr:sp>
      <xdr:nvSpPr>
        <xdr:cNvPr id="49" name="Line 211"/>
        <xdr:cNvSpPr>
          <a:spLocks/>
        </xdr:cNvSpPr>
      </xdr:nvSpPr>
      <xdr:spPr>
        <a:xfrm>
          <a:off x="1459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76200</xdr:colOff>
      <xdr:row>0</xdr:row>
      <xdr:rowOff>0</xdr:rowOff>
    </xdr:to>
    <xdr:sp>
      <xdr:nvSpPr>
        <xdr:cNvPr id="50" name="Rectangle 216"/>
        <xdr:cNvSpPr>
          <a:spLocks/>
        </xdr:cNvSpPr>
      </xdr:nvSpPr>
      <xdr:spPr>
        <a:xfrm>
          <a:off x="145923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0</xdr:row>
      <xdr:rowOff>0</xdr:rowOff>
    </xdr:from>
    <xdr:to>
      <xdr:col>12</xdr:col>
      <xdr:colOff>123825</xdr:colOff>
      <xdr:row>0</xdr:row>
      <xdr:rowOff>0</xdr:rowOff>
    </xdr:to>
    <xdr:sp>
      <xdr:nvSpPr>
        <xdr:cNvPr id="51" name="Line 220"/>
        <xdr:cNvSpPr>
          <a:spLocks/>
        </xdr:cNvSpPr>
      </xdr:nvSpPr>
      <xdr:spPr>
        <a:xfrm flipH="1">
          <a:off x="1049655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0</xdr:row>
      <xdr:rowOff>0</xdr:rowOff>
    </xdr:from>
    <xdr:to>
      <xdr:col>19</xdr:col>
      <xdr:colOff>428625</xdr:colOff>
      <xdr:row>0</xdr:row>
      <xdr:rowOff>0</xdr:rowOff>
    </xdr:to>
    <xdr:sp>
      <xdr:nvSpPr>
        <xdr:cNvPr id="52" name="Line 231"/>
        <xdr:cNvSpPr>
          <a:spLocks/>
        </xdr:cNvSpPr>
      </xdr:nvSpPr>
      <xdr:spPr>
        <a:xfrm>
          <a:off x="1459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1447800</xdr:colOff>
      <xdr:row>0</xdr:row>
      <xdr:rowOff>0</xdr:rowOff>
    </xdr:from>
    <xdr:to>
      <xdr:col>12</xdr:col>
      <xdr:colOff>1447800</xdr:colOff>
      <xdr:row>0</xdr:row>
      <xdr:rowOff>0</xdr:rowOff>
    </xdr:to>
    <xdr:sp>
      <xdr:nvSpPr>
        <xdr:cNvPr id="53" name="Line 233"/>
        <xdr:cNvSpPr>
          <a:spLocks/>
        </xdr:cNvSpPr>
      </xdr:nvSpPr>
      <xdr:spPr>
        <a:xfrm>
          <a:off x="11830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76200</xdr:colOff>
      <xdr:row>0</xdr:row>
      <xdr:rowOff>0</xdr:rowOff>
    </xdr:from>
    <xdr:to>
      <xdr:col>12</xdr:col>
      <xdr:colOff>647700</xdr:colOff>
      <xdr:row>0</xdr:row>
      <xdr:rowOff>0</xdr:rowOff>
    </xdr:to>
    <xdr:sp>
      <xdr:nvSpPr>
        <xdr:cNvPr id="54" name="Line 236"/>
        <xdr:cNvSpPr>
          <a:spLocks/>
        </xdr:cNvSpPr>
      </xdr:nvSpPr>
      <xdr:spPr>
        <a:xfrm flipV="1">
          <a:off x="10458450" y="0"/>
          <a:ext cx="571500" cy="0"/>
        </a:xfrm>
        <a:prstGeom prst="lin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0</xdr:row>
      <xdr:rowOff>0</xdr:rowOff>
    </xdr:from>
    <xdr:to>
      <xdr:col>12</xdr:col>
      <xdr:colOff>666750</xdr:colOff>
      <xdr:row>0</xdr:row>
      <xdr:rowOff>0</xdr:rowOff>
    </xdr:to>
    <xdr:sp>
      <xdr:nvSpPr>
        <xdr:cNvPr id="55" name="Line 237"/>
        <xdr:cNvSpPr>
          <a:spLocks/>
        </xdr:cNvSpPr>
      </xdr:nvSpPr>
      <xdr:spPr>
        <a:xfrm flipV="1">
          <a:off x="10448925" y="0"/>
          <a:ext cx="600075" cy="0"/>
        </a:xfrm>
        <a:prstGeom prst="lin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6" name="Line 238"/>
        <xdr:cNvSpPr>
          <a:spLocks/>
        </xdr:cNvSpPr>
      </xdr:nvSpPr>
      <xdr:spPr>
        <a:xfrm>
          <a:off x="10382250" y="0"/>
          <a:ext cx="0" cy="0"/>
        </a:xfrm>
        <a:prstGeom prst="lin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18</xdr:row>
      <xdr:rowOff>0</xdr:rowOff>
    </xdr:from>
    <xdr:to>
      <xdr:col>19</xdr:col>
      <xdr:colOff>76200</xdr:colOff>
      <xdr:row>19</xdr:row>
      <xdr:rowOff>180975</xdr:rowOff>
    </xdr:to>
    <xdr:sp>
      <xdr:nvSpPr>
        <xdr:cNvPr id="57" name="Rectangle 243"/>
        <xdr:cNvSpPr>
          <a:spLocks/>
        </xdr:cNvSpPr>
      </xdr:nvSpPr>
      <xdr:spPr>
        <a:xfrm>
          <a:off x="14592300" y="8991600"/>
          <a:ext cx="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19</xdr:row>
      <xdr:rowOff>95250</xdr:rowOff>
    </xdr:from>
    <xdr:to>
      <xdr:col>19</xdr:col>
      <xdr:colOff>428625</xdr:colOff>
      <xdr:row>19</xdr:row>
      <xdr:rowOff>95250</xdr:rowOff>
    </xdr:to>
    <xdr:sp>
      <xdr:nvSpPr>
        <xdr:cNvPr id="58" name="Line 252"/>
        <xdr:cNvSpPr>
          <a:spLocks/>
        </xdr:cNvSpPr>
      </xdr:nvSpPr>
      <xdr:spPr>
        <a:xfrm>
          <a:off x="14592300" y="942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390525</xdr:colOff>
      <xdr:row>18</xdr:row>
      <xdr:rowOff>9525</xdr:rowOff>
    </xdr:from>
    <xdr:to>
      <xdr:col>19</xdr:col>
      <xdr:colOff>390525</xdr:colOff>
      <xdr:row>19</xdr:row>
      <xdr:rowOff>95250</xdr:rowOff>
    </xdr:to>
    <xdr:sp>
      <xdr:nvSpPr>
        <xdr:cNvPr id="59" name="Line 254"/>
        <xdr:cNvSpPr>
          <a:spLocks/>
        </xdr:cNvSpPr>
      </xdr:nvSpPr>
      <xdr:spPr>
        <a:xfrm>
          <a:off x="14592300" y="90011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18</xdr:row>
      <xdr:rowOff>0</xdr:rowOff>
    </xdr:from>
    <xdr:to>
      <xdr:col>19</xdr:col>
      <xdr:colOff>76200</xdr:colOff>
      <xdr:row>19</xdr:row>
      <xdr:rowOff>180975</xdr:rowOff>
    </xdr:to>
    <xdr:sp>
      <xdr:nvSpPr>
        <xdr:cNvPr id="60" name="Rectangle 259"/>
        <xdr:cNvSpPr>
          <a:spLocks/>
        </xdr:cNvSpPr>
      </xdr:nvSpPr>
      <xdr:spPr>
        <a:xfrm>
          <a:off x="14592300" y="8991600"/>
          <a:ext cx="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19</xdr:row>
      <xdr:rowOff>95250</xdr:rowOff>
    </xdr:from>
    <xdr:to>
      <xdr:col>19</xdr:col>
      <xdr:colOff>428625</xdr:colOff>
      <xdr:row>19</xdr:row>
      <xdr:rowOff>95250</xdr:rowOff>
    </xdr:to>
    <xdr:sp>
      <xdr:nvSpPr>
        <xdr:cNvPr id="61" name="Line 268"/>
        <xdr:cNvSpPr>
          <a:spLocks/>
        </xdr:cNvSpPr>
      </xdr:nvSpPr>
      <xdr:spPr>
        <a:xfrm>
          <a:off x="14592300" y="942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390525</xdr:colOff>
      <xdr:row>18</xdr:row>
      <xdr:rowOff>9525</xdr:rowOff>
    </xdr:from>
    <xdr:to>
      <xdr:col>19</xdr:col>
      <xdr:colOff>390525</xdr:colOff>
      <xdr:row>19</xdr:row>
      <xdr:rowOff>95250</xdr:rowOff>
    </xdr:to>
    <xdr:sp>
      <xdr:nvSpPr>
        <xdr:cNvPr id="62" name="Line 270"/>
        <xdr:cNvSpPr>
          <a:spLocks/>
        </xdr:cNvSpPr>
      </xdr:nvSpPr>
      <xdr:spPr>
        <a:xfrm>
          <a:off x="14592300" y="90011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76200</xdr:colOff>
      <xdr:row>21</xdr:row>
      <xdr:rowOff>247650</xdr:rowOff>
    </xdr:from>
    <xdr:to>
      <xdr:col>12</xdr:col>
      <xdr:colOff>647700</xdr:colOff>
      <xdr:row>22</xdr:row>
      <xdr:rowOff>28575</xdr:rowOff>
    </xdr:to>
    <xdr:sp>
      <xdr:nvSpPr>
        <xdr:cNvPr id="63" name="Line 273"/>
        <xdr:cNvSpPr>
          <a:spLocks/>
        </xdr:cNvSpPr>
      </xdr:nvSpPr>
      <xdr:spPr>
        <a:xfrm flipV="1">
          <a:off x="10458450" y="10267950"/>
          <a:ext cx="571500" cy="123825"/>
        </a:xfrm>
        <a:prstGeom prst="lin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21</xdr:row>
      <xdr:rowOff>238125</xdr:rowOff>
    </xdr:from>
    <xdr:to>
      <xdr:col>12</xdr:col>
      <xdr:colOff>666750</xdr:colOff>
      <xdr:row>22</xdr:row>
      <xdr:rowOff>19050</xdr:rowOff>
    </xdr:to>
    <xdr:sp>
      <xdr:nvSpPr>
        <xdr:cNvPr id="64" name="Line 274"/>
        <xdr:cNvSpPr>
          <a:spLocks/>
        </xdr:cNvSpPr>
      </xdr:nvSpPr>
      <xdr:spPr>
        <a:xfrm flipV="1">
          <a:off x="10448925" y="10258425"/>
          <a:ext cx="600075" cy="123825"/>
        </a:xfrm>
        <a:prstGeom prst="lin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9525</xdr:rowOff>
    </xdr:from>
    <xdr:to>
      <xdr:col>12</xdr:col>
      <xdr:colOff>0</xdr:colOff>
      <xdr:row>21</xdr:row>
      <xdr:rowOff>66675</xdr:rowOff>
    </xdr:to>
    <xdr:sp>
      <xdr:nvSpPr>
        <xdr:cNvPr id="65" name="Line 275"/>
        <xdr:cNvSpPr>
          <a:spLocks/>
        </xdr:cNvSpPr>
      </xdr:nvSpPr>
      <xdr:spPr>
        <a:xfrm>
          <a:off x="10382250" y="9001125"/>
          <a:ext cx="0" cy="1085850"/>
        </a:xfrm>
        <a:prstGeom prst="lin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20</xdr:row>
      <xdr:rowOff>0</xdr:rowOff>
    </xdr:from>
    <xdr:to>
      <xdr:col>23</xdr:col>
      <xdr:colOff>0</xdr:colOff>
      <xdr:row>20</xdr:row>
      <xdr:rowOff>0</xdr:rowOff>
    </xdr:to>
    <xdr:sp>
      <xdr:nvSpPr>
        <xdr:cNvPr id="66" name="Rectangle 474"/>
        <xdr:cNvSpPr>
          <a:spLocks/>
        </xdr:cNvSpPr>
      </xdr:nvSpPr>
      <xdr:spPr>
        <a:xfrm>
          <a:off x="16563975" y="9677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952500</xdr:colOff>
      <xdr:row>0</xdr:row>
      <xdr:rowOff>0</xdr:rowOff>
    </xdr:from>
    <xdr:to>
      <xdr:col>12</xdr:col>
      <xdr:colOff>1695450</xdr:colOff>
      <xdr:row>0</xdr:row>
      <xdr:rowOff>0</xdr:rowOff>
    </xdr:to>
    <xdr:sp>
      <xdr:nvSpPr>
        <xdr:cNvPr id="67" name="Line 755"/>
        <xdr:cNvSpPr>
          <a:spLocks/>
        </xdr:cNvSpPr>
      </xdr:nvSpPr>
      <xdr:spPr>
        <a:xfrm>
          <a:off x="11334750" y="0"/>
          <a:ext cx="742950" cy="0"/>
        </a:xfrm>
        <a:prstGeom prst="lin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971550</xdr:colOff>
      <xdr:row>0</xdr:row>
      <xdr:rowOff>0</xdr:rowOff>
    </xdr:from>
    <xdr:to>
      <xdr:col>12</xdr:col>
      <xdr:colOff>1638300</xdr:colOff>
      <xdr:row>0</xdr:row>
      <xdr:rowOff>0</xdr:rowOff>
    </xdr:to>
    <xdr:sp>
      <xdr:nvSpPr>
        <xdr:cNvPr id="68" name="Line 756"/>
        <xdr:cNvSpPr>
          <a:spLocks/>
        </xdr:cNvSpPr>
      </xdr:nvSpPr>
      <xdr:spPr>
        <a:xfrm>
          <a:off x="11353800" y="0"/>
          <a:ext cx="666750" cy="0"/>
        </a:xfrm>
        <a:prstGeom prst="lin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1314450</xdr:colOff>
      <xdr:row>0</xdr:row>
      <xdr:rowOff>0</xdr:rowOff>
    </xdr:from>
    <xdr:to>
      <xdr:col>12</xdr:col>
      <xdr:colOff>2343150</xdr:colOff>
      <xdr:row>0</xdr:row>
      <xdr:rowOff>0</xdr:rowOff>
    </xdr:to>
    <xdr:sp>
      <xdr:nvSpPr>
        <xdr:cNvPr id="69" name="Line 769"/>
        <xdr:cNvSpPr>
          <a:spLocks/>
        </xdr:cNvSpPr>
      </xdr:nvSpPr>
      <xdr:spPr>
        <a:xfrm>
          <a:off x="11696700" y="0"/>
          <a:ext cx="1028700" cy="0"/>
        </a:xfrm>
        <a:prstGeom prst="lin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400050</xdr:colOff>
      <xdr:row>0</xdr:row>
      <xdr:rowOff>0</xdr:rowOff>
    </xdr:from>
    <xdr:to>
      <xdr:col>6</xdr:col>
      <xdr:colOff>1333500</xdr:colOff>
      <xdr:row>0</xdr:row>
      <xdr:rowOff>0</xdr:rowOff>
    </xdr:to>
    <xdr:sp>
      <xdr:nvSpPr>
        <xdr:cNvPr id="70" name="Line 770"/>
        <xdr:cNvSpPr>
          <a:spLocks/>
        </xdr:cNvSpPr>
      </xdr:nvSpPr>
      <xdr:spPr>
        <a:xfrm>
          <a:off x="9248775" y="0"/>
          <a:ext cx="933450" cy="0"/>
        </a:xfrm>
        <a:prstGeom prst="lin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71" name="Line 772"/>
        <xdr:cNvSpPr>
          <a:spLocks/>
        </xdr:cNvSpPr>
      </xdr:nvSpPr>
      <xdr:spPr>
        <a:xfrm>
          <a:off x="10382250" y="0"/>
          <a:ext cx="0" cy="0"/>
        </a:xfrm>
        <a:prstGeom prst="lin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1162050</xdr:colOff>
      <xdr:row>0</xdr:row>
      <xdr:rowOff>0</xdr:rowOff>
    </xdr:from>
    <xdr:to>
      <xdr:col>12</xdr:col>
      <xdr:colOff>1162050</xdr:colOff>
      <xdr:row>0</xdr:row>
      <xdr:rowOff>0</xdr:rowOff>
    </xdr:to>
    <xdr:sp>
      <xdr:nvSpPr>
        <xdr:cNvPr id="72" name="Line 773"/>
        <xdr:cNvSpPr>
          <a:spLocks/>
        </xdr:cNvSpPr>
      </xdr:nvSpPr>
      <xdr:spPr>
        <a:xfrm>
          <a:off x="11544300" y="0"/>
          <a:ext cx="0" cy="0"/>
        </a:xfrm>
        <a:prstGeom prst="lin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76200</xdr:colOff>
      <xdr:row>0</xdr:row>
      <xdr:rowOff>0</xdr:rowOff>
    </xdr:from>
    <xdr:to>
      <xdr:col>12</xdr:col>
      <xdr:colOff>647700</xdr:colOff>
      <xdr:row>0</xdr:row>
      <xdr:rowOff>0</xdr:rowOff>
    </xdr:to>
    <xdr:sp>
      <xdr:nvSpPr>
        <xdr:cNvPr id="73" name="Line 776"/>
        <xdr:cNvSpPr>
          <a:spLocks/>
        </xdr:cNvSpPr>
      </xdr:nvSpPr>
      <xdr:spPr>
        <a:xfrm flipV="1">
          <a:off x="10458450" y="0"/>
          <a:ext cx="571500" cy="0"/>
        </a:xfrm>
        <a:prstGeom prst="lin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0</xdr:row>
      <xdr:rowOff>0</xdr:rowOff>
    </xdr:from>
    <xdr:to>
      <xdr:col>12</xdr:col>
      <xdr:colOff>666750</xdr:colOff>
      <xdr:row>0</xdr:row>
      <xdr:rowOff>0</xdr:rowOff>
    </xdr:to>
    <xdr:sp>
      <xdr:nvSpPr>
        <xdr:cNvPr id="74" name="Line 777"/>
        <xdr:cNvSpPr>
          <a:spLocks/>
        </xdr:cNvSpPr>
      </xdr:nvSpPr>
      <xdr:spPr>
        <a:xfrm flipV="1">
          <a:off x="10448925" y="0"/>
          <a:ext cx="600075" cy="0"/>
        </a:xfrm>
        <a:prstGeom prst="lin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952500</xdr:colOff>
      <xdr:row>0</xdr:row>
      <xdr:rowOff>0</xdr:rowOff>
    </xdr:from>
    <xdr:to>
      <xdr:col>12</xdr:col>
      <xdr:colOff>1695450</xdr:colOff>
      <xdr:row>0</xdr:row>
      <xdr:rowOff>0</xdr:rowOff>
    </xdr:to>
    <xdr:sp>
      <xdr:nvSpPr>
        <xdr:cNvPr id="75" name="Line 779"/>
        <xdr:cNvSpPr>
          <a:spLocks/>
        </xdr:cNvSpPr>
      </xdr:nvSpPr>
      <xdr:spPr>
        <a:xfrm>
          <a:off x="11334750" y="0"/>
          <a:ext cx="742950" cy="0"/>
        </a:xfrm>
        <a:prstGeom prst="lin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971550</xdr:colOff>
      <xdr:row>0</xdr:row>
      <xdr:rowOff>0</xdr:rowOff>
    </xdr:from>
    <xdr:to>
      <xdr:col>12</xdr:col>
      <xdr:colOff>1638300</xdr:colOff>
      <xdr:row>0</xdr:row>
      <xdr:rowOff>0</xdr:rowOff>
    </xdr:to>
    <xdr:sp>
      <xdr:nvSpPr>
        <xdr:cNvPr id="76" name="Line 780"/>
        <xdr:cNvSpPr>
          <a:spLocks/>
        </xdr:cNvSpPr>
      </xdr:nvSpPr>
      <xdr:spPr>
        <a:xfrm>
          <a:off x="11353800" y="0"/>
          <a:ext cx="666750" cy="0"/>
        </a:xfrm>
        <a:prstGeom prst="lin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1314450</xdr:colOff>
      <xdr:row>0</xdr:row>
      <xdr:rowOff>0</xdr:rowOff>
    </xdr:from>
    <xdr:to>
      <xdr:col>12</xdr:col>
      <xdr:colOff>2343150</xdr:colOff>
      <xdr:row>0</xdr:row>
      <xdr:rowOff>0</xdr:rowOff>
    </xdr:to>
    <xdr:sp>
      <xdr:nvSpPr>
        <xdr:cNvPr id="77" name="Line 781"/>
        <xdr:cNvSpPr>
          <a:spLocks/>
        </xdr:cNvSpPr>
      </xdr:nvSpPr>
      <xdr:spPr>
        <a:xfrm>
          <a:off x="11696700" y="0"/>
          <a:ext cx="1028700" cy="0"/>
        </a:xfrm>
        <a:prstGeom prst="lin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76200</xdr:colOff>
      <xdr:row>0</xdr:row>
      <xdr:rowOff>0</xdr:rowOff>
    </xdr:from>
    <xdr:to>
      <xdr:col>12</xdr:col>
      <xdr:colOff>647700</xdr:colOff>
      <xdr:row>0</xdr:row>
      <xdr:rowOff>0</xdr:rowOff>
    </xdr:to>
    <xdr:sp>
      <xdr:nvSpPr>
        <xdr:cNvPr id="78" name="Line 782"/>
        <xdr:cNvSpPr>
          <a:spLocks/>
        </xdr:cNvSpPr>
      </xdr:nvSpPr>
      <xdr:spPr>
        <a:xfrm flipV="1">
          <a:off x="10458450" y="0"/>
          <a:ext cx="571500" cy="0"/>
        </a:xfrm>
        <a:prstGeom prst="lin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0</xdr:row>
      <xdr:rowOff>0</xdr:rowOff>
    </xdr:from>
    <xdr:to>
      <xdr:col>12</xdr:col>
      <xdr:colOff>666750</xdr:colOff>
      <xdr:row>0</xdr:row>
      <xdr:rowOff>0</xdr:rowOff>
    </xdr:to>
    <xdr:sp>
      <xdr:nvSpPr>
        <xdr:cNvPr id="79" name="Line 783"/>
        <xdr:cNvSpPr>
          <a:spLocks/>
        </xdr:cNvSpPr>
      </xdr:nvSpPr>
      <xdr:spPr>
        <a:xfrm flipV="1">
          <a:off x="10448925" y="0"/>
          <a:ext cx="600075" cy="0"/>
        </a:xfrm>
        <a:prstGeom prst="lin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1162050</xdr:colOff>
      <xdr:row>0</xdr:row>
      <xdr:rowOff>0</xdr:rowOff>
    </xdr:from>
    <xdr:to>
      <xdr:col>12</xdr:col>
      <xdr:colOff>1162050</xdr:colOff>
      <xdr:row>0</xdr:row>
      <xdr:rowOff>0</xdr:rowOff>
    </xdr:to>
    <xdr:sp>
      <xdr:nvSpPr>
        <xdr:cNvPr id="80" name="Line 785"/>
        <xdr:cNvSpPr>
          <a:spLocks/>
        </xdr:cNvSpPr>
      </xdr:nvSpPr>
      <xdr:spPr>
        <a:xfrm>
          <a:off x="11544300" y="0"/>
          <a:ext cx="0" cy="0"/>
        </a:xfrm>
        <a:prstGeom prst="lin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18</xdr:row>
      <xdr:rowOff>0</xdr:rowOff>
    </xdr:from>
    <xdr:to>
      <xdr:col>19</xdr:col>
      <xdr:colOff>76200</xdr:colOff>
      <xdr:row>19</xdr:row>
      <xdr:rowOff>180975</xdr:rowOff>
    </xdr:to>
    <xdr:sp>
      <xdr:nvSpPr>
        <xdr:cNvPr id="81" name="Rectangle 932"/>
        <xdr:cNvSpPr>
          <a:spLocks/>
        </xdr:cNvSpPr>
      </xdr:nvSpPr>
      <xdr:spPr>
        <a:xfrm>
          <a:off x="14592300" y="8991600"/>
          <a:ext cx="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19</xdr:row>
      <xdr:rowOff>95250</xdr:rowOff>
    </xdr:from>
    <xdr:to>
      <xdr:col>19</xdr:col>
      <xdr:colOff>428625</xdr:colOff>
      <xdr:row>19</xdr:row>
      <xdr:rowOff>95250</xdr:rowOff>
    </xdr:to>
    <xdr:sp>
      <xdr:nvSpPr>
        <xdr:cNvPr id="82" name="Line 939"/>
        <xdr:cNvSpPr>
          <a:spLocks/>
        </xdr:cNvSpPr>
      </xdr:nvSpPr>
      <xdr:spPr>
        <a:xfrm>
          <a:off x="14592300" y="942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390525</xdr:colOff>
      <xdr:row>18</xdr:row>
      <xdr:rowOff>9525</xdr:rowOff>
    </xdr:from>
    <xdr:to>
      <xdr:col>19</xdr:col>
      <xdr:colOff>390525</xdr:colOff>
      <xdr:row>19</xdr:row>
      <xdr:rowOff>95250</xdr:rowOff>
    </xdr:to>
    <xdr:sp>
      <xdr:nvSpPr>
        <xdr:cNvPr id="83" name="Line 940"/>
        <xdr:cNvSpPr>
          <a:spLocks/>
        </xdr:cNvSpPr>
      </xdr:nvSpPr>
      <xdr:spPr>
        <a:xfrm>
          <a:off x="14592300" y="90011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9525</xdr:rowOff>
    </xdr:from>
    <xdr:to>
      <xdr:col>12</xdr:col>
      <xdr:colOff>0</xdr:colOff>
      <xdr:row>21</xdr:row>
      <xdr:rowOff>66675</xdr:rowOff>
    </xdr:to>
    <xdr:sp>
      <xdr:nvSpPr>
        <xdr:cNvPr id="84" name="Line 959"/>
        <xdr:cNvSpPr>
          <a:spLocks/>
        </xdr:cNvSpPr>
      </xdr:nvSpPr>
      <xdr:spPr>
        <a:xfrm>
          <a:off x="10382250" y="9001125"/>
          <a:ext cx="0" cy="1085850"/>
        </a:xfrm>
        <a:prstGeom prst="lin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76200</xdr:colOff>
      <xdr:row>0</xdr:row>
      <xdr:rowOff>0</xdr:rowOff>
    </xdr:from>
    <xdr:to>
      <xdr:col>12</xdr:col>
      <xdr:colOff>647700</xdr:colOff>
      <xdr:row>0</xdr:row>
      <xdr:rowOff>0</xdr:rowOff>
    </xdr:to>
    <xdr:sp>
      <xdr:nvSpPr>
        <xdr:cNvPr id="85" name="Line 1048"/>
        <xdr:cNvSpPr>
          <a:spLocks/>
        </xdr:cNvSpPr>
      </xdr:nvSpPr>
      <xdr:spPr>
        <a:xfrm flipV="1">
          <a:off x="10458450" y="0"/>
          <a:ext cx="571500" cy="0"/>
        </a:xfrm>
        <a:prstGeom prst="lin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0</xdr:row>
      <xdr:rowOff>0</xdr:rowOff>
    </xdr:from>
    <xdr:to>
      <xdr:col>12</xdr:col>
      <xdr:colOff>666750</xdr:colOff>
      <xdr:row>0</xdr:row>
      <xdr:rowOff>0</xdr:rowOff>
    </xdr:to>
    <xdr:sp>
      <xdr:nvSpPr>
        <xdr:cNvPr id="86" name="Line 1049"/>
        <xdr:cNvSpPr>
          <a:spLocks/>
        </xdr:cNvSpPr>
      </xdr:nvSpPr>
      <xdr:spPr>
        <a:xfrm flipV="1">
          <a:off x="10448925" y="0"/>
          <a:ext cx="600075" cy="0"/>
        </a:xfrm>
        <a:prstGeom prst="lin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1447800</xdr:colOff>
      <xdr:row>0</xdr:row>
      <xdr:rowOff>0</xdr:rowOff>
    </xdr:from>
    <xdr:to>
      <xdr:col>12</xdr:col>
      <xdr:colOff>1447800</xdr:colOff>
      <xdr:row>0</xdr:row>
      <xdr:rowOff>0</xdr:rowOff>
    </xdr:to>
    <xdr:sp>
      <xdr:nvSpPr>
        <xdr:cNvPr id="87" name="Line 1052"/>
        <xdr:cNvSpPr>
          <a:spLocks/>
        </xdr:cNvSpPr>
      </xdr:nvSpPr>
      <xdr:spPr>
        <a:xfrm>
          <a:off x="11830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76200</xdr:colOff>
      <xdr:row>0</xdr:row>
      <xdr:rowOff>0</xdr:rowOff>
    </xdr:from>
    <xdr:to>
      <xdr:col>12</xdr:col>
      <xdr:colOff>647700</xdr:colOff>
      <xdr:row>0</xdr:row>
      <xdr:rowOff>0</xdr:rowOff>
    </xdr:to>
    <xdr:sp>
      <xdr:nvSpPr>
        <xdr:cNvPr id="88" name="Line 1053"/>
        <xdr:cNvSpPr>
          <a:spLocks/>
        </xdr:cNvSpPr>
      </xdr:nvSpPr>
      <xdr:spPr>
        <a:xfrm flipV="1">
          <a:off x="10458450" y="0"/>
          <a:ext cx="571500" cy="0"/>
        </a:xfrm>
        <a:prstGeom prst="lin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0</xdr:row>
      <xdr:rowOff>0</xdr:rowOff>
    </xdr:from>
    <xdr:to>
      <xdr:col>12</xdr:col>
      <xdr:colOff>666750</xdr:colOff>
      <xdr:row>0</xdr:row>
      <xdr:rowOff>0</xdr:rowOff>
    </xdr:to>
    <xdr:sp>
      <xdr:nvSpPr>
        <xdr:cNvPr id="89" name="Line 1054"/>
        <xdr:cNvSpPr>
          <a:spLocks/>
        </xdr:cNvSpPr>
      </xdr:nvSpPr>
      <xdr:spPr>
        <a:xfrm flipV="1">
          <a:off x="10448925" y="0"/>
          <a:ext cx="600075" cy="0"/>
        </a:xfrm>
        <a:prstGeom prst="lin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76200</xdr:colOff>
      <xdr:row>0</xdr:row>
      <xdr:rowOff>0</xdr:rowOff>
    </xdr:from>
    <xdr:to>
      <xdr:col>12</xdr:col>
      <xdr:colOff>647700</xdr:colOff>
      <xdr:row>0</xdr:row>
      <xdr:rowOff>0</xdr:rowOff>
    </xdr:to>
    <xdr:sp>
      <xdr:nvSpPr>
        <xdr:cNvPr id="90" name="Line 1055"/>
        <xdr:cNvSpPr>
          <a:spLocks/>
        </xdr:cNvSpPr>
      </xdr:nvSpPr>
      <xdr:spPr>
        <a:xfrm flipV="1">
          <a:off x="10458450" y="0"/>
          <a:ext cx="571500" cy="0"/>
        </a:xfrm>
        <a:prstGeom prst="lin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0</xdr:row>
      <xdr:rowOff>0</xdr:rowOff>
    </xdr:from>
    <xdr:to>
      <xdr:col>12</xdr:col>
      <xdr:colOff>666750</xdr:colOff>
      <xdr:row>0</xdr:row>
      <xdr:rowOff>0</xdr:rowOff>
    </xdr:to>
    <xdr:sp>
      <xdr:nvSpPr>
        <xdr:cNvPr id="91" name="Line 1056"/>
        <xdr:cNvSpPr>
          <a:spLocks/>
        </xdr:cNvSpPr>
      </xdr:nvSpPr>
      <xdr:spPr>
        <a:xfrm flipV="1">
          <a:off x="10448925" y="0"/>
          <a:ext cx="600075" cy="0"/>
        </a:xfrm>
        <a:prstGeom prst="lin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1447800</xdr:colOff>
      <xdr:row>0</xdr:row>
      <xdr:rowOff>0</xdr:rowOff>
    </xdr:from>
    <xdr:to>
      <xdr:col>12</xdr:col>
      <xdr:colOff>1447800</xdr:colOff>
      <xdr:row>0</xdr:row>
      <xdr:rowOff>0</xdr:rowOff>
    </xdr:to>
    <xdr:sp>
      <xdr:nvSpPr>
        <xdr:cNvPr id="92" name="Line 1059"/>
        <xdr:cNvSpPr>
          <a:spLocks/>
        </xdr:cNvSpPr>
      </xdr:nvSpPr>
      <xdr:spPr>
        <a:xfrm>
          <a:off x="11830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76200</xdr:colOff>
      <xdr:row>0</xdr:row>
      <xdr:rowOff>0</xdr:rowOff>
    </xdr:from>
    <xdr:to>
      <xdr:col>12</xdr:col>
      <xdr:colOff>647700</xdr:colOff>
      <xdr:row>0</xdr:row>
      <xdr:rowOff>0</xdr:rowOff>
    </xdr:to>
    <xdr:sp>
      <xdr:nvSpPr>
        <xdr:cNvPr id="93" name="Line 1060"/>
        <xdr:cNvSpPr>
          <a:spLocks/>
        </xdr:cNvSpPr>
      </xdr:nvSpPr>
      <xdr:spPr>
        <a:xfrm flipV="1">
          <a:off x="10458450" y="0"/>
          <a:ext cx="571500" cy="0"/>
        </a:xfrm>
        <a:prstGeom prst="lin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0</xdr:row>
      <xdr:rowOff>0</xdr:rowOff>
    </xdr:from>
    <xdr:to>
      <xdr:col>12</xdr:col>
      <xdr:colOff>666750</xdr:colOff>
      <xdr:row>0</xdr:row>
      <xdr:rowOff>0</xdr:rowOff>
    </xdr:to>
    <xdr:sp>
      <xdr:nvSpPr>
        <xdr:cNvPr id="94" name="Line 1061"/>
        <xdr:cNvSpPr>
          <a:spLocks/>
        </xdr:cNvSpPr>
      </xdr:nvSpPr>
      <xdr:spPr>
        <a:xfrm flipV="1">
          <a:off x="10448925" y="0"/>
          <a:ext cx="600075" cy="0"/>
        </a:xfrm>
        <a:prstGeom prst="lin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1009650</xdr:colOff>
      <xdr:row>0</xdr:row>
      <xdr:rowOff>0</xdr:rowOff>
    </xdr:from>
    <xdr:to>
      <xdr:col>12</xdr:col>
      <xdr:colOff>1609725</xdr:colOff>
      <xdr:row>0</xdr:row>
      <xdr:rowOff>0</xdr:rowOff>
    </xdr:to>
    <xdr:sp>
      <xdr:nvSpPr>
        <xdr:cNvPr id="95" name="Line 1062"/>
        <xdr:cNvSpPr>
          <a:spLocks/>
        </xdr:cNvSpPr>
      </xdr:nvSpPr>
      <xdr:spPr>
        <a:xfrm flipV="1">
          <a:off x="11391900" y="0"/>
          <a:ext cx="600075" cy="0"/>
        </a:xfrm>
        <a:prstGeom prst="lin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971550</xdr:colOff>
      <xdr:row>0</xdr:row>
      <xdr:rowOff>0</xdr:rowOff>
    </xdr:from>
    <xdr:to>
      <xdr:col>12</xdr:col>
      <xdr:colOff>1495425</xdr:colOff>
      <xdr:row>0</xdr:row>
      <xdr:rowOff>0</xdr:rowOff>
    </xdr:to>
    <xdr:sp>
      <xdr:nvSpPr>
        <xdr:cNvPr id="96" name="Line 1063"/>
        <xdr:cNvSpPr>
          <a:spLocks/>
        </xdr:cNvSpPr>
      </xdr:nvSpPr>
      <xdr:spPr>
        <a:xfrm>
          <a:off x="11353800" y="0"/>
          <a:ext cx="523875" cy="0"/>
        </a:xfrm>
        <a:prstGeom prst="lin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76200</xdr:colOff>
      <xdr:row>26</xdr:row>
      <xdr:rowOff>0</xdr:rowOff>
    </xdr:to>
    <xdr:sp>
      <xdr:nvSpPr>
        <xdr:cNvPr id="97" name="Rectangle 1413"/>
        <xdr:cNvSpPr>
          <a:spLocks/>
        </xdr:cNvSpPr>
      </xdr:nvSpPr>
      <xdr:spPr>
        <a:xfrm>
          <a:off x="14592300" y="11734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26</xdr:row>
      <xdr:rowOff>0</xdr:rowOff>
    </xdr:from>
    <xdr:to>
      <xdr:col>12</xdr:col>
      <xdr:colOff>123825</xdr:colOff>
      <xdr:row>26</xdr:row>
      <xdr:rowOff>0</xdr:rowOff>
    </xdr:to>
    <xdr:sp>
      <xdr:nvSpPr>
        <xdr:cNvPr id="98" name="Line 1417"/>
        <xdr:cNvSpPr>
          <a:spLocks/>
        </xdr:cNvSpPr>
      </xdr:nvSpPr>
      <xdr:spPr>
        <a:xfrm flipH="1">
          <a:off x="10496550" y="11734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26</xdr:row>
      <xdr:rowOff>0</xdr:rowOff>
    </xdr:from>
    <xdr:to>
      <xdr:col>12</xdr:col>
      <xdr:colOff>66675</xdr:colOff>
      <xdr:row>26</xdr:row>
      <xdr:rowOff>0</xdr:rowOff>
    </xdr:to>
    <xdr:sp>
      <xdr:nvSpPr>
        <xdr:cNvPr id="99" name="Line 1418"/>
        <xdr:cNvSpPr>
          <a:spLocks/>
        </xdr:cNvSpPr>
      </xdr:nvSpPr>
      <xdr:spPr>
        <a:xfrm flipH="1">
          <a:off x="10420350" y="117348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26</xdr:row>
      <xdr:rowOff>0</xdr:rowOff>
    </xdr:from>
    <xdr:to>
      <xdr:col>12</xdr:col>
      <xdr:colOff>38100</xdr:colOff>
      <xdr:row>26</xdr:row>
      <xdr:rowOff>0</xdr:rowOff>
    </xdr:to>
    <xdr:sp>
      <xdr:nvSpPr>
        <xdr:cNvPr id="100" name="Freeform 1419"/>
        <xdr:cNvSpPr>
          <a:spLocks/>
        </xdr:cNvSpPr>
      </xdr:nvSpPr>
      <xdr:spPr>
        <a:xfrm>
          <a:off x="10382250" y="11734800"/>
          <a:ext cx="38100" cy="0"/>
        </a:xfrm>
        <a:custGeom>
          <a:pathLst>
            <a:path h="13" w="4">
              <a:moveTo>
                <a:pt x="4" y="0"/>
              </a:moveTo>
              <a:lnTo>
                <a:pt x="0" y="1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26</xdr:row>
      <xdr:rowOff>0</xdr:rowOff>
    </xdr:from>
    <xdr:to>
      <xdr:col>19</xdr:col>
      <xdr:colOff>428625</xdr:colOff>
      <xdr:row>26</xdr:row>
      <xdr:rowOff>0</xdr:rowOff>
    </xdr:to>
    <xdr:sp>
      <xdr:nvSpPr>
        <xdr:cNvPr id="101" name="Line 1426"/>
        <xdr:cNvSpPr>
          <a:spLocks/>
        </xdr:cNvSpPr>
      </xdr:nvSpPr>
      <xdr:spPr>
        <a:xfrm>
          <a:off x="14592300" y="1173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>
      <xdr:nvSpPr>
        <xdr:cNvPr id="102" name="Line 1427"/>
        <xdr:cNvSpPr>
          <a:spLocks/>
        </xdr:cNvSpPr>
      </xdr:nvSpPr>
      <xdr:spPr>
        <a:xfrm flipV="1">
          <a:off x="10382250" y="1173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390525</xdr:colOff>
      <xdr:row>26</xdr:row>
      <xdr:rowOff>0</xdr:rowOff>
    </xdr:from>
    <xdr:to>
      <xdr:col>19</xdr:col>
      <xdr:colOff>390525</xdr:colOff>
      <xdr:row>26</xdr:row>
      <xdr:rowOff>0</xdr:rowOff>
    </xdr:to>
    <xdr:sp>
      <xdr:nvSpPr>
        <xdr:cNvPr id="103" name="Line 1428"/>
        <xdr:cNvSpPr>
          <a:spLocks/>
        </xdr:cNvSpPr>
      </xdr:nvSpPr>
      <xdr:spPr>
        <a:xfrm>
          <a:off x="14592300" y="1173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76200</xdr:colOff>
      <xdr:row>26</xdr:row>
      <xdr:rowOff>0</xdr:rowOff>
    </xdr:to>
    <xdr:sp>
      <xdr:nvSpPr>
        <xdr:cNvPr id="104" name="Rectangle 1432"/>
        <xdr:cNvSpPr>
          <a:spLocks/>
        </xdr:cNvSpPr>
      </xdr:nvSpPr>
      <xdr:spPr>
        <a:xfrm>
          <a:off x="14592300" y="11734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26</xdr:row>
      <xdr:rowOff>0</xdr:rowOff>
    </xdr:from>
    <xdr:to>
      <xdr:col>12</xdr:col>
      <xdr:colOff>123825</xdr:colOff>
      <xdr:row>26</xdr:row>
      <xdr:rowOff>0</xdr:rowOff>
    </xdr:to>
    <xdr:sp>
      <xdr:nvSpPr>
        <xdr:cNvPr id="105" name="Line 1436"/>
        <xdr:cNvSpPr>
          <a:spLocks/>
        </xdr:cNvSpPr>
      </xdr:nvSpPr>
      <xdr:spPr>
        <a:xfrm flipH="1">
          <a:off x="10496550" y="11734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26</xdr:row>
      <xdr:rowOff>0</xdr:rowOff>
    </xdr:from>
    <xdr:to>
      <xdr:col>12</xdr:col>
      <xdr:colOff>66675</xdr:colOff>
      <xdr:row>26</xdr:row>
      <xdr:rowOff>0</xdr:rowOff>
    </xdr:to>
    <xdr:sp>
      <xdr:nvSpPr>
        <xdr:cNvPr id="106" name="Line 1437"/>
        <xdr:cNvSpPr>
          <a:spLocks/>
        </xdr:cNvSpPr>
      </xdr:nvSpPr>
      <xdr:spPr>
        <a:xfrm flipH="1">
          <a:off x="10420350" y="117348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26</xdr:row>
      <xdr:rowOff>0</xdr:rowOff>
    </xdr:from>
    <xdr:to>
      <xdr:col>12</xdr:col>
      <xdr:colOff>38100</xdr:colOff>
      <xdr:row>26</xdr:row>
      <xdr:rowOff>0</xdr:rowOff>
    </xdr:to>
    <xdr:sp>
      <xdr:nvSpPr>
        <xdr:cNvPr id="107" name="Freeform 1438"/>
        <xdr:cNvSpPr>
          <a:spLocks/>
        </xdr:cNvSpPr>
      </xdr:nvSpPr>
      <xdr:spPr>
        <a:xfrm>
          <a:off x="10382250" y="11734800"/>
          <a:ext cx="38100" cy="0"/>
        </a:xfrm>
        <a:custGeom>
          <a:pathLst>
            <a:path h="13" w="4">
              <a:moveTo>
                <a:pt x="4" y="0"/>
              </a:moveTo>
              <a:lnTo>
                <a:pt x="0" y="1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26</xdr:row>
      <xdr:rowOff>0</xdr:rowOff>
    </xdr:from>
    <xdr:to>
      <xdr:col>19</xdr:col>
      <xdr:colOff>428625</xdr:colOff>
      <xdr:row>26</xdr:row>
      <xdr:rowOff>0</xdr:rowOff>
    </xdr:to>
    <xdr:sp>
      <xdr:nvSpPr>
        <xdr:cNvPr id="108" name="Line 1441"/>
        <xdr:cNvSpPr>
          <a:spLocks/>
        </xdr:cNvSpPr>
      </xdr:nvSpPr>
      <xdr:spPr>
        <a:xfrm>
          <a:off x="14592300" y="1173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390525</xdr:colOff>
      <xdr:row>26</xdr:row>
      <xdr:rowOff>0</xdr:rowOff>
    </xdr:from>
    <xdr:to>
      <xdr:col>19</xdr:col>
      <xdr:colOff>390525</xdr:colOff>
      <xdr:row>26</xdr:row>
      <xdr:rowOff>0</xdr:rowOff>
    </xdr:to>
    <xdr:sp>
      <xdr:nvSpPr>
        <xdr:cNvPr id="109" name="Line 1442"/>
        <xdr:cNvSpPr>
          <a:spLocks/>
        </xdr:cNvSpPr>
      </xdr:nvSpPr>
      <xdr:spPr>
        <a:xfrm>
          <a:off x="14592300" y="1173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76200</xdr:colOff>
      <xdr:row>26</xdr:row>
      <xdr:rowOff>0</xdr:rowOff>
    </xdr:to>
    <xdr:sp>
      <xdr:nvSpPr>
        <xdr:cNvPr id="110" name="Rectangle 1446"/>
        <xdr:cNvSpPr>
          <a:spLocks/>
        </xdr:cNvSpPr>
      </xdr:nvSpPr>
      <xdr:spPr>
        <a:xfrm>
          <a:off x="14592300" y="11734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26</xdr:row>
      <xdr:rowOff>0</xdr:rowOff>
    </xdr:from>
    <xdr:to>
      <xdr:col>12</xdr:col>
      <xdr:colOff>123825</xdr:colOff>
      <xdr:row>26</xdr:row>
      <xdr:rowOff>0</xdr:rowOff>
    </xdr:to>
    <xdr:sp>
      <xdr:nvSpPr>
        <xdr:cNvPr id="111" name="Line 1449"/>
        <xdr:cNvSpPr>
          <a:spLocks/>
        </xdr:cNvSpPr>
      </xdr:nvSpPr>
      <xdr:spPr>
        <a:xfrm flipH="1">
          <a:off x="10496550" y="11734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26</xdr:row>
      <xdr:rowOff>0</xdr:rowOff>
    </xdr:from>
    <xdr:to>
      <xdr:col>12</xdr:col>
      <xdr:colOff>66675</xdr:colOff>
      <xdr:row>26</xdr:row>
      <xdr:rowOff>0</xdr:rowOff>
    </xdr:to>
    <xdr:sp>
      <xdr:nvSpPr>
        <xdr:cNvPr id="112" name="Line 1450"/>
        <xdr:cNvSpPr>
          <a:spLocks/>
        </xdr:cNvSpPr>
      </xdr:nvSpPr>
      <xdr:spPr>
        <a:xfrm flipH="1">
          <a:off x="10420350" y="117348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26</xdr:row>
      <xdr:rowOff>0</xdr:rowOff>
    </xdr:from>
    <xdr:to>
      <xdr:col>12</xdr:col>
      <xdr:colOff>38100</xdr:colOff>
      <xdr:row>26</xdr:row>
      <xdr:rowOff>0</xdr:rowOff>
    </xdr:to>
    <xdr:sp>
      <xdr:nvSpPr>
        <xdr:cNvPr id="113" name="Freeform 1451"/>
        <xdr:cNvSpPr>
          <a:spLocks/>
        </xdr:cNvSpPr>
      </xdr:nvSpPr>
      <xdr:spPr>
        <a:xfrm>
          <a:off x="10382250" y="11734800"/>
          <a:ext cx="38100" cy="0"/>
        </a:xfrm>
        <a:custGeom>
          <a:pathLst>
            <a:path h="13" w="4">
              <a:moveTo>
                <a:pt x="4" y="0"/>
              </a:moveTo>
              <a:lnTo>
                <a:pt x="0" y="1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26</xdr:row>
      <xdr:rowOff>0</xdr:rowOff>
    </xdr:from>
    <xdr:to>
      <xdr:col>19</xdr:col>
      <xdr:colOff>428625</xdr:colOff>
      <xdr:row>26</xdr:row>
      <xdr:rowOff>0</xdr:rowOff>
    </xdr:to>
    <xdr:sp>
      <xdr:nvSpPr>
        <xdr:cNvPr id="114" name="Line 1455"/>
        <xdr:cNvSpPr>
          <a:spLocks/>
        </xdr:cNvSpPr>
      </xdr:nvSpPr>
      <xdr:spPr>
        <a:xfrm>
          <a:off x="14592300" y="1173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390525</xdr:colOff>
      <xdr:row>26</xdr:row>
      <xdr:rowOff>0</xdr:rowOff>
    </xdr:from>
    <xdr:to>
      <xdr:col>19</xdr:col>
      <xdr:colOff>390525</xdr:colOff>
      <xdr:row>26</xdr:row>
      <xdr:rowOff>0</xdr:rowOff>
    </xdr:to>
    <xdr:sp>
      <xdr:nvSpPr>
        <xdr:cNvPr id="115" name="Line 1457"/>
        <xdr:cNvSpPr>
          <a:spLocks/>
        </xdr:cNvSpPr>
      </xdr:nvSpPr>
      <xdr:spPr>
        <a:xfrm>
          <a:off x="14592300" y="1173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76200</xdr:colOff>
      <xdr:row>26</xdr:row>
      <xdr:rowOff>0</xdr:rowOff>
    </xdr:from>
    <xdr:to>
      <xdr:col>12</xdr:col>
      <xdr:colOff>647700</xdr:colOff>
      <xdr:row>26</xdr:row>
      <xdr:rowOff>0</xdr:rowOff>
    </xdr:to>
    <xdr:sp>
      <xdr:nvSpPr>
        <xdr:cNvPr id="116" name="Line 1459"/>
        <xdr:cNvSpPr>
          <a:spLocks/>
        </xdr:cNvSpPr>
      </xdr:nvSpPr>
      <xdr:spPr>
        <a:xfrm flipV="1">
          <a:off x="10458450" y="11734800"/>
          <a:ext cx="571500" cy="0"/>
        </a:xfrm>
        <a:prstGeom prst="lin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26</xdr:row>
      <xdr:rowOff>0</xdr:rowOff>
    </xdr:from>
    <xdr:to>
      <xdr:col>12</xdr:col>
      <xdr:colOff>666750</xdr:colOff>
      <xdr:row>26</xdr:row>
      <xdr:rowOff>0</xdr:rowOff>
    </xdr:to>
    <xdr:sp>
      <xdr:nvSpPr>
        <xdr:cNvPr id="117" name="Line 1460"/>
        <xdr:cNvSpPr>
          <a:spLocks/>
        </xdr:cNvSpPr>
      </xdr:nvSpPr>
      <xdr:spPr>
        <a:xfrm flipV="1">
          <a:off x="10448925" y="11734800"/>
          <a:ext cx="600075" cy="0"/>
        </a:xfrm>
        <a:prstGeom prst="lin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>
      <xdr:nvSpPr>
        <xdr:cNvPr id="118" name="Line 1461"/>
        <xdr:cNvSpPr>
          <a:spLocks/>
        </xdr:cNvSpPr>
      </xdr:nvSpPr>
      <xdr:spPr>
        <a:xfrm>
          <a:off x="10382250" y="11734800"/>
          <a:ext cx="0" cy="0"/>
        </a:xfrm>
        <a:prstGeom prst="lin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26</xdr:row>
      <xdr:rowOff>0</xdr:rowOff>
    </xdr:from>
    <xdr:to>
      <xdr:col>23</xdr:col>
      <xdr:colOff>0</xdr:colOff>
      <xdr:row>26</xdr:row>
      <xdr:rowOff>0</xdr:rowOff>
    </xdr:to>
    <xdr:sp>
      <xdr:nvSpPr>
        <xdr:cNvPr id="119" name="Rectangle 1464"/>
        <xdr:cNvSpPr>
          <a:spLocks/>
        </xdr:cNvSpPr>
      </xdr:nvSpPr>
      <xdr:spPr>
        <a:xfrm>
          <a:off x="16563975" y="11734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76200</xdr:colOff>
      <xdr:row>26</xdr:row>
      <xdr:rowOff>0</xdr:rowOff>
    </xdr:to>
    <xdr:sp>
      <xdr:nvSpPr>
        <xdr:cNvPr id="120" name="Rectangle 1467"/>
        <xdr:cNvSpPr>
          <a:spLocks/>
        </xdr:cNvSpPr>
      </xdr:nvSpPr>
      <xdr:spPr>
        <a:xfrm>
          <a:off x="14592300" y="11734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26</xdr:row>
      <xdr:rowOff>0</xdr:rowOff>
    </xdr:from>
    <xdr:to>
      <xdr:col>12</xdr:col>
      <xdr:colOff>123825</xdr:colOff>
      <xdr:row>26</xdr:row>
      <xdr:rowOff>0</xdr:rowOff>
    </xdr:to>
    <xdr:sp>
      <xdr:nvSpPr>
        <xdr:cNvPr id="121" name="Line 1469"/>
        <xdr:cNvSpPr>
          <a:spLocks/>
        </xdr:cNvSpPr>
      </xdr:nvSpPr>
      <xdr:spPr>
        <a:xfrm flipH="1">
          <a:off x="10496550" y="11734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26</xdr:row>
      <xdr:rowOff>0</xdr:rowOff>
    </xdr:from>
    <xdr:to>
      <xdr:col>12</xdr:col>
      <xdr:colOff>66675</xdr:colOff>
      <xdr:row>26</xdr:row>
      <xdr:rowOff>0</xdr:rowOff>
    </xdr:to>
    <xdr:sp>
      <xdr:nvSpPr>
        <xdr:cNvPr id="122" name="Line 1470"/>
        <xdr:cNvSpPr>
          <a:spLocks/>
        </xdr:cNvSpPr>
      </xdr:nvSpPr>
      <xdr:spPr>
        <a:xfrm flipH="1">
          <a:off x="10420350" y="117348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26</xdr:row>
      <xdr:rowOff>0</xdr:rowOff>
    </xdr:from>
    <xdr:to>
      <xdr:col>12</xdr:col>
      <xdr:colOff>38100</xdr:colOff>
      <xdr:row>26</xdr:row>
      <xdr:rowOff>0</xdr:rowOff>
    </xdr:to>
    <xdr:sp>
      <xdr:nvSpPr>
        <xdr:cNvPr id="123" name="Freeform 1471"/>
        <xdr:cNvSpPr>
          <a:spLocks/>
        </xdr:cNvSpPr>
      </xdr:nvSpPr>
      <xdr:spPr>
        <a:xfrm>
          <a:off x="10382250" y="11734800"/>
          <a:ext cx="38100" cy="0"/>
        </a:xfrm>
        <a:custGeom>
          <a:pathLst>
            <a:path h="13" w="4">
              <a:moveTo>
                <a:pt x="4" y="0"/>
              </a:moveTo>
              <a:lnTo>
                <a:pt x="0" y="1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26</xdr:row>
      <xdr:rowOff>0</xdr:rowOff>
    </xdr:from>
    <xdr:to>
      <xdr:col>19</xdr:col>
      <xdr:colOff>428625</xdr:colOff>
      <xdr:row>26</xdr:row>
      <xdr:rowOff>0</xdr:rowOff>
    </xdr:to>
    <xdr:sp>
      <xdr:nvSpPr>
        <xdr:cNvPr id="124" name="Line 1474"/>
        <xdr:cNvSpPr>
          <a:spLocks/>
        </xdr:cNvSpPr>
      </xdr:nvSpPr>
      <xdr:spPr>
        <a:xfrm>
          <a:off x="14592300" y="1173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390525</xdr:colOff>
      <xdr:row>26</xdr:row>
      <xdr:rowOff>0</xdr:rowOff>
    </xdr:from>
    <xdr:to>
      <xdr:col>19</xdr:col>
      <xdr:colOff>390525</xdr:colOff>
      <xdr:row>26</xdr:row>
      <xdr:rowOff>0</xdr:rowOff>
    </xdr:to>
    <xdr:sp>
      <xdr:nvSpPr>
        <xdr:cNvPr id="125" name="Line 1475"/>
        <xdr:cNvSpPr>
          <a:spLocks/>
        </xdr:cNvSpPr>
      </xdr:nvSpPr>
      <xdr:spPr>
        <a:xfrm>
          <a:off x="14592300" y="1173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26</xdr:row>
      <xdr:rowOff>0</xdr:rowOff>
    </xdr:from>
    <xdr:to>
      <xdr:col>12</xdr:col>
      <xdr:colOff>123825</xdr:colOff>
      <xdr:row>26</xdr:row>
      <xdr:rowOff>0</xdr:rowOff>
    </xdr:to>
    <xdr:sp>
      <xdr:nvSpPr>
        <xdr:cNvPr id="126" name="Line 1479"/>
        <xdr:cNvSpPr>
          <a:spLocks/>
        </xdr:cNvSpPr>
      </xdr:nvSpPr>
      <xdr:spPr>
        <a:xfrm flipH="1">
          <a:off x="10496550" y="11734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26</xdr:row>
      <xdr:rowOff>0</xdr:rowOff>
    </xdr:from>
    <xdr:to>
      <xdr:col>12</xdr:col>
      <xdr:colOff>66675</xdr:colOff>
      <xdr:row>26</xdr:row>
      <xdr:rowOff>0</xdr:rowOff>
    </xdr:to>
    <xdr:sp>
      <xdr:nvSpPr>
        <xdr:cNvPr id="127" name="Line 1480"/>
        <xdr:cNvSpPr>
          <a:spLocks/>
        </xdr:cNvSpPr>
      </xdr:nvSpPr>
      <xdr:spPr>
        <a:xfrm flipH="1">
          <a:off x="10420350" y="117348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26</xdr:row>
      <xdr:rowOff>0</xdr:rowOff>
    </xdr:from>
    <xdr:to>
      <xdr:col>12</xdr:col>
      <xdr:colOff>38100</xdr:colOff>
      <xdr:row>26</xdr:row>
      <xdr:rowOff>0</xdr:rowOff>
    </xdr:to>
    <xdr:sp>
      <xdr:nvSpPr>
        <xdr:cNvPr id="128" name="Freeform 1481"/>
        <xdr:cNvSpPr>
          <a:spLocks/>
        </xdr:cNvSpPr>
      </xdr:nvSpPr>
      <xdr:spPr>
        <a:xfrm>
          <a:off x="10382250" y="11734800"/>
          <a:ext cx="38100" cy="0"/>
        </a:xfrm>
        <a:custGeom>
          <a:pathLst>
            <a:path h="13" w="4">
              <a:moveTo>
                <a:pt x="4" y="0"/>
              </a:moveTo>
              <a:lnTo>
                <a:pt x="0" y="1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26</xdr:row>
      <xdr:rowOff>0</xdr:rowOff>
    </xdr:from>
    <xdr:to>
      <xdr:col>12</xdr:col>
      <xdr:colOff>66675</xdr:colOff>
      <xdr:row>26</xdr:row>
      <xdr:rowOff>0</xdr:rowOff>
    </xdr:to>
    <xdr:sp>
      <xdr:nvSpPr>
        <xdr:cNvPr id="129" name="Line 1485"/>
        <xdr:cNvSpPr>
          <a:spLocks/>
        </xdr:cNvSpPr>
      </xdr:nvSpPr>
      <xdr:spPr>
        <a:xfrm flipH="1">
          <a:off x="10420350" y="117348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1447800</xdr:colOff>
      <xdr:row>26</xdr:row>
      <xdr:rowOff>0</xdr:rowOff>
    </xdr:from>
    <xdr:to>
      <xdr:col>12</xdr:col>
      <xdr:colOff>1447800</xdr:colOff>
      <xdr:row>26</xdr:row>
      <xdr:rowOff>0</xdr:rowOff>
    </xdr:to>
    <xdr:sp>
      <xdr:nvSpPr>
        <xdr:cNvPr id="130" name="Line 1488"/>
        <xdr:cNvSpPr>
          <a:spLocks/>
        </xdr:cNvSpPr>
      </xdr:nvSpPr>
      <xdr:spPr>
        <a:xfrm>
          <a:off x="11830050" y="1173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76200</xdr:colOff>
      <xdr:row>26</xdr:row>
      <xdr:rowOff>0</xdr:rowOff>
    </xdr:from>
    <xdr:to>
      <xdr:col>12</xdr:col>
      <xdr:colOff>647700</xdr:colOff>
      <xdr:row>26</xdr:row>
      <xdr:rowOff>0</xdr:rowOff>
    </xdr:to>
    <xdr:sp>
      <xdr:nvSpPr>
        <xdr:cNvPr id="131" name="Line 1489"/>
        <xdr:cNvSpPr>
          <a:spLocks/>
        </xdr:cNvSpPr>
      </xdr:nvSpPr>
      <xdr:spPr>
        <a:xfrm flipV="1">
          <a:off x="10458450" y="11734800"/>
          <a:ext cx="571500" cy="0"/>
        </a:xfrm>
        <a:prstGeom prst="lin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26</xdr:row>
      <xdr:rowOff>0</xdr:rowOff>
    </xdr:from>
    <xdr:to>
      <xdr:col>12</xdr:col>
      <xdr:colOff>666750</xdr:colOff>
      <xdr:row>26</xdr:row>
      <xdr:rowOff>0</xdr:rowOff>
    </xdr:to>
    <xdr:sp>
      <xdr:nvSpPr>
        <xdr:cNvPr id="132" name="Line 1490"/>
        <xdr:cNvSpPr>
          <a:spLocks/>
        </xdr:cNvSpPr>
      </xdr:nvSpPr>
      <xdr:spPr>
        <a:xfrm flipV="1">
          <a:off x="10448925" y="11734800"/>
          <a:ext cx="600075" cy="0"/>
        </a:xfrm>
        <a:prstGeom prst="lin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>
      <xdr:nvSpPr>
        <xdr:cNvPr id="133" name="Line 1491"/>
        <xdr:cNvSpPr>
          <a:spLocks/>
        </xdr:cNvSpPr>
      </xdr:nvSpPr>
      <xdr:spPr>
        <a:xfrm>
          <a:off x="10382250" y="11734800"/>
          <a:ext cx="0" cy="0"/>
        </a:xfrm>
        <a:prstGeom prst="lin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5</xdr:col>
      <xdr:colOff>1295400</xdr:colOff>
      <xdr:row>16</xdr:row>
      <xdr:rowOff>47625</xdr:rowOff>
    </xdr:from>
    <xdr:to>
      <xdr:col>22</xdr:col>
      <xdr:colOff>561975</xdr:colOff>
      <xdr:row>25</xdr:row>
      <xdr:rowOff>276225</xdr:rowOff>
    </xdr:to>
    <xdr:pic>
      <xdr:nvPicPr>
        <xdr:cNvPr id="134" name="Picture 72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8353425"/>
          <a:ext cx="7858125" cy="3314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Oval 110"/>
        <xdr:cNvSpPr>
          <a:spLocks/>
        </xdr:cNvSpPr>
      </xdr:nvSpPr>
      <xdr:spPr>
        <a:xfrm>
          <a:off x="19592925" y="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Line 113"/>
        <xdr:cNvSpPr>
          <a:spLocks/>
        </xdr:cNvSpPr>
      </xdr:nvSpPr>
      <xdr:spPr>
        <a:xfrm>
          <a:off x="1959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" name="Line 114"/>
        <xdr:cNvSpPr>
          <a:spLocks/>
        </xdr:cNvSpPr>
      </xdr:nvSpPr>
      <xdr:spPr>
        <a:xfrm flipH="1" flipV="1">
          <a:off x="1959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116"/>
        <xdr:cNvSpPr>
          <a:spLocks/>
        </xdr:cNvSpPr>
      </xdr:nvSpPr>
      <xdr:spPr>
        <a:xfrm flipV="1">
          <a:off x="1959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" name="Freeform 119"/>
        <xdr:cNvSpPr>
          <a:spLocks/>
        </xdr:cNvSpPr>
      </xdr:nvSpPr>
      <xdr:spPr>
        <a:xfrm>
          <a:off x="19592925" y="0"/>
          <a:ext cx="0" cy="0"/>
        </a:xfrm>
        <a:custGeom>
          <a:pathLst>
            <a:path h="11" w="18">
              <a:moveTo>
                <a:pt x="0" y="11"/>
              </a:moveTo>
              <a:cubicBezTo>
                <a:pt x="3" y="7"/>
                <a:pt x="6" y="3"/>
                <a:pt x="18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Freeform 120"/>
        <xdr:cNvSpPr>
          <a:spLocks/>
        </xdr:cNvSpPr>
      </xdr:nvSpPr>
      <xdr:spPr>
        <a:xfrm>
          <a:off x="19592925" y="0"/>
          <a:ext cx="0" cy="0"/>
        </a:xfrm>
        <a:custGeom>
          <a:pathLst>
            <a:path h="4" w="7">
              <a:moveTo>
                <a:pt x="0" y="4"/>
              </a:moveTo>
              <a:cubicBezTo>
                <a:pt x="1" y="2"/>
                <a:pt x="3" y="0"/>
                <a:pt x="7" y="1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Line 122"/>
        <xdr:cNvSpPr>
          <a:spLocks/>
        </xdr:cNvSpPr>
      </xdr:nvSpPr>
      <xdr:spPr>
        <a:xfrm flipV="1">
          <a:off x="1959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" name="Rectangle 123"/>
        <xdr:cNvSpPr>
          <a:spLocks/>
        </xdr:cNvSpPr>
      </xdr:nvSpPr>
      <xdr:spPr>
        <a:xfrm>
          <a:off x="19592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" name="Line 124"/>
        <xdr:cNvSpPr>
          <a:spLocks/>
        </xdr:cNvSpPr>
      </xdr:nvSpPr>
      <xdr:spPr>
        <a:xfrm flipV="1">
          <a:off x="1959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" name="Line 125"/>
        <xdr:cNvSpPr>
          <a:spLocks/>
        </xdr:cNvSpPr>
      </xdr:nvSpPr>
      <xdr:spPr>
        <a:xfrm flipV="1">
          <a:off x="1959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" name="Freeform 127"/>
        <xdr:cNvSpPr>
          <a:spLocks/>
        </xdr:cNvSpPr>
      </xdr:nvSpPr>
      <xdr:spPr>
        <a:xfrm>
          <a:off x="19592925" y="0"/>
          <a:ext cx="0" cy="0"/>
        </a:xfrm>
        <a:custGeom>
          <a:pathLst>
            <a:path h="6" w="3">
              <a:moveTo>
                <a:pt x="0" y="0"/>
              </a:moveTo>
              <a:cubicBezTo>
                <a:pt x="1" y="1"/>
                <a:pt x="3" y="3"/>
                <a:pt x="0" y="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" name="Oval 128"/>
        <xdr:cNvSpPr>
          <a:spLocks/>
        </xdr:cNvSpPr>
      </xdr:nvSpPr>
      <xdr:spPr>
        <a:xfrm>
          <a:off x="19592925" y="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" name="Line 132"/>
        <xdr:cNvSpPr>
          <a:spLocks/>
        </xdr:cNvSpPr>
      </xdr:nvSpPr>
      <xdr:spPr>
        <a:xfrm>
          <a:off x="1959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" name="Line 133"/>
        <xdr:cNvSpPr>
          <a:spLocks/>
        </xdr:cNvSpPr>
      </xdr:nvSpPr>
      <xdr:spPr>
        <a:xfrm flipH="1">
          <a:off x="1959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" name="Line 137"/>
        <xdr:cNvSpPr>
          <a:spLocks/>
        </xdr:cNvSpPr>
      </xdr:nvSpPr>
      <xdr:spPr>
        <a:xfrm>
          <a:off x="1959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" name="Line 139"/>
        <xdr:cNvSpPr>
          <a:spLocks/>
        </xdr:cNvSpPr>
      </xdr:nvSpPr>
      <xdr:spPr>
        <a:xfrm flipV="1">
          <a:off x="1959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" name="Line 140"/>
        <xdr:cNvSpPr>
          <a:spLocks/>
        </xdr:cNvSpPr>
      </xdr:nvSpPr>
      <xdr:spPr>
        <a:xfrm flipH="1">
          <a:off x="1959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" name="Line 141"/>
        <xdr:cNvSpPr>
          <a:spLocks/>
        </xdr:cNvSpPr>
      </xdr:nvSpPr>
      <xdr:spPr>
        <a:xfrm flipH="1" flipV="1">
          <a:off x="1959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" name="Line 142"/>
        <xdr:cNvSpPr>
          <a:spLocks/>
        </xdr:cNvSpPr>
      </xdr:nvSpPr>
      <xdr:spPr>
        <a:xfrm>
          <a:off x="1959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" name="Line 143"/>
        <xdr:cNvSpPr>
          <a:spLocks/>
        </xdr:cNvSpPr>
      </xdr:nvSpPr>
      <xdr:spPr>
        <a:xfrm flipH="1" flipV="1">
          <a:off x="1959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" name="Line 144"/>
        <xdr:cNvSpPr>
          <a:spLocks/>
        </xdr:cNvSpPr>
      </xdr:nvSpPr>
      <xdr:spPr>
        <a:xfrm>
          <a:off x="1959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" name="Line 147"/>
        <xdr:cNvSpPr>
          <a:spLocks/>
        </xdr:cNvSpPr>
      </xdr:nvSpPr>
      <xdr:spPr>
        <a:xfrm flipH="1" flipV="1">
          <a:off x="1959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" name="Line 148"/>
        <xdr:cNvSpPr>
          <a:spLocks/>
        </xdr:cNvSpPr>
      </xdr:nvSpPr>
      <xdr:spPr>
        <a:xfrm>
          <a:off x="1959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" name="Line 149"/>
        <xdr:cNvSpPr>
          <a:spLocks/>
        </xdr:cNvSpPr>
      </xdr:nvSpPr>
      <xdr:spPr>
        <a:xfrm flipH="1">
          <a:off x="1959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" name="Line 150"/>
        <xdr:cNvSpPr>
          <a:spLocks/>
        </xdr:cNvSpPr>
      </xdr:nvSpPr>
      <xdr:spPr>
        <a:xfrm flipH="1">
          <a:off x="1959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" name="Line 151"/>
        <xdr:cNvSpPr>
          <a:spLocks/>
        </xdr:cNvSpPr>
      </xdr:nvSpPr>
      <xdr:spPr>
        <a:xfrm flipV="1">
          <a:off x="1959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7" name="Rectangle 200"/>
        <xdr:cNvSpPr>
          <a:spLocks/>
        </xdr:cNvSpPr>
      </xdr:nvSpPr>
      <xdr:spPr>
        <a:xfrm>
          <a:off x="19592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8" name="Oval 205"/>
        <xdr:cNvSpPr>
          <a:spLocks/>
        </xdr:cNvSpPr>
      </xdr:nvSpPr>
      <xdr:spPr>
        <a:xfrm>
          <a:off x="19592925" y="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" name="Line 225"/>
        <xdr:cNvSpPr>
          <a:spLocks/>
        </xdr:cNvSpPr>
      </xdr:nvSpPr>
      <xdr:spPr>
        <a:xfrm>
          <a:off x="1959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" name="Line 226"/>
        <xdr:cNvSpPr>
          <a:spLocks/>
        </xdr:cNvSpPr>
      </xdr:nvSpPr>
      <xdr:spPr>
        <a:xfrm>
          <a:off x="1959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1000125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" name="Line 380"/>
        <xdr:cNvSpPr>
          <a:spLocks/>
        </xdr:cNvSpPr>
      </xdr:nvSpPr>
      <xdr:spPr>
        <a:xfrm flipH="1"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1000125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" name="Line 408"/>
        <xdr:cNvSpPr>
          <a:spLocks/>
        </xdr:cNvSpPr>
      </xdr:nvSpPr>
      <xdr:spPr>
        <a:xfrm flipH="1"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1000125</xdr:colOff>
      <xdr:row>22</xdr:row>
      <xdr:rowOff>76200</xdr:rowOff>
    </xdr:from>
    <xdr:to>
      <xdr:col>9</xdr:col>
      <xdr:colOff>0</xdr:colOff>
      <xdr:row>22</xdr:row>
      <xdr:rowOff>76200</xdr:rowOff>
    </xdr:to>
    <xdr:sp>
      <xdr:nvSpPr>
        <xdr:cNvPr id="33" name="Line 433"/>
        <xdr:cNvSpPr>
          <a:spLocks/>
        </xdr:cNvSpPr>
      </xdr:nvSpPr>
      <xdr:spPr>
        <a:xfrm flipH="1">
          <a:off x="10687050" y="1061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1000125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34" name="Line 458"/>
        <xdr:cNvSpPr>
          <a:spLocks/>
        </xdr:cNvSpPr>
      </xdr:nvSpPr>
      <xdr:spPr>
        <a:xfrm flipH="1">
          <a:off x="10687050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1000125</xdr:colOff>
      <xdr:row>28</xdr:row>
      <xdr:rowOff>0</xdr:rowOff>
    </xdr:from>
    <xdr:to>
      <xdr:col>9</xdr:col>
      <xdr:colOff>1000125</xdr:colOff>
      <xdr:row>28</xdr:row>
      <xdr:rowOff>0</xdr:rowOff>
    </xdr:to>
    <xdr:sp>
      <xdr:nvSpPr>
        <xdr:cNvPr id="35" name="Line 475"/>
        <xdr:cNvSpPr>
          <a:spLocks/>
        </xdr:cNvSpPr>
      </xdr:nvSpPr>
      <xdr:spPr>
        <a:xfrm>
          <a:off x="1168717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1000125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36" name="Line 483"/>
        <xdr:cNvSpPr>
          <a:spLocks/>
        </xdr:cNvSpPr>
      </xdr:nvSpPr>
      <xdr:spPr>
        <a:xfrm flipH="1">
          <a:off x="10687050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" name="Line 487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1000125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" name="Line 513"/>
        <xdr:cNvSpPr>
          <a:spLocks/>
        </xdr:cNvSpPr>
      </xdr:nvSpPr>
      <xdr:spPr>
        <a:xfrm flipH="1"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" name="Line 51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1000125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" name="Line 538"/>
        <xdr:cNvSpPr>
          <a:spLocks/>
        </xdr:cNvSpPr>
      </xdr:nvSpPr>
      <xdr:spPr>
        <a:xfrm flipH="1"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1000125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" name="Line 560"/>
        <xdr:cNvSpPr>
          <a:spLocks/>
        </xdr:cNvSpPr>
      </xdr:nvSpPr>
      <xdr:spPr>
        <a:xfrm flipH="1"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0</xdr:row>
      <xdr:rowOff>0</xdr:rowOff>
    </xdr:from>
    <xdr:to>
      <xdr:col>9</xdr:col>
      <xdr:colOff>647700</xdr:colOff>
      <xdr:row>0</xdr:row>
      <xdr:rowOff>0</xdr:rowOff>
    </xdr:to>
    <xdr:sp>
      <xdr:nvSpPr>
        <xdr:cNvPr id="42" name="Line 561"/>
        <xdr:cNvSpPr>
          <a:spLocks/>
        </xdr:cNvSpPr>
      </xdr:nvSpPr>
      <xdr:spPr>
        <a:xfrm flipV="1">
          <a:off x="10763250" y="0"/>
          <a:ext cx="571500" cy="0"/>
        </a:xfrm>
        <a:prstGeom prst="lin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" name="Line 563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1000125</xdr:colOff>
      <xdr:row>22</xdr:row>
      <xdr:rowOff>76200</xdr:rowOff>
    </xdr:from>
    <xdr:to>
      <xdr:col>9</xdr:col>
      <xdr:colOff>0</xdr:colOff>
      <xdr:row>22</xdr:row>
      <xdr:rowOff>76200</xdr:rowOff>
    </xdr:to>
    <xdr:sp>
      <xdr:nvSpPr>
        <xdr:cNvPr id="44" name="Line 585"/>
        <xdr:cNvSpPr>
          <a:spLocks/>
        </xdr:cNvSpPr>
      </xdr:nvSpPr>
      <xdr:spPr>
        <a:xfrm flipH="1">
          <a:off x="10687050" y="1061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1000125</xdr:colOff>
      <xdr:row>22</xdr:row>
      <xdr:rowOff>76200</xdr:rowOff>
    </xdr:from>
    <xdr:to>
      <xdr:col>9</xdr:col>
      <xdr:colOff>0</xdr:colOff>
      <xdr:row>22</xdr:row>
      <xdr:rowOff>76200</xdr:rowOff>
    </xdr:to>
    <xdr:sp>
      <xdr:nvSpPr>
        <xdr:cNvPr id="45" name="Line 607"/>
        <xdr:cNvSpPr>
          <a:spLocks/>
        </xdr:cNvSpPr>
      </xdr:nvSpPr>
      <xdr:spPr>
        <a:xfrm flipH="1">
          <a:off x="10687050" y="1061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9525</xdr:rowOff>
    </xdr:from>
    <xdr:to>
      <xdr:col>9</xdr:col>
      <xdr:colOff>0</xdr:colOff>
      <xdr:row>22</xdr:row>
      <xdr:rowOff>66675</xdr:rowOff>
    </xdr:to>
    <xdr:sp>
      <xdr:nvSpPr>
        <xdr:cNvPr id="46" name="Line 610"/>
        <xdr:cNvSpPr>
          <a:spLocks/>
        </xdr:cNvSpPr>
      </xdr:nvSpPr>
      <xdr:spPr>
        <a:xfrm>
          <a:off x="10687050" y="9515475"/>
          <a:ext cx="0" cy="1085850"/>
        </a:xfrm>
        <a:prstGeom prst="lin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1000125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47" name="Line 632"/>
        <xdr:cNvSpPr>
          <a:spLocks/>
        </xdr:cNvSpPr>
      </xdr:nvSpPr>
      <xdr:spPr>
        <a:xfrm flipH="1">
          <a:off x="10687050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1000125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48" name="Line 654"/>
        <xdr:cNvSpPr>
          <a:spLocks/>
        </xdr:cNvSpPr>
      </xdr:nvSpPr>
      <xdr:spPr>
        <a:xfrm flipH="1">
          <a:off x="10687050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49" name="Line 657"/>
        <xdr:cNvSpPr>
          <a:spLocks/>
        </xdr:cNvSpPr>
      </xdr:nvSpPr>
      <xdr:spPr>
        <a:xfrm>
          <a:off x="10687050" y="12592050"/>
          <a:ext cx="0" cy="0"/>
        </a:xfrm>
        <a:prstGeom prst="lin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1000125</xdr:colOff>
      <xdr:row>28</xdr:row>
      <xdr:rowOff>0</xdr:rowOff>
    </xdr:from>
    <xdr:to>
      <xdr:col>9</xdr:col>
      <xdr:colOff>1000125</xdr:colOff>
      <xdr:row>28</xdr:row>
      <xdr:rowOff>0</xdr:rowOff>
    </xdr:to>
    <xdr:sp>
      <xdr:nvSpPr>
        <xdr:cNvPr id="50" name="Line 673"/>
        <xdr:cNvSpPr>
          <a:spLocks/>
        </xdr:cNvSpPr>
      </xdr:nvSpPr>
      <xdr:spPr>
        <a:xfrm>
          <a:off x="1168717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1000125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51" name="Line 679"/>
        <xdr:cNvSpPr>
          <a:spLocks/>
        </xdr:cNvSpPr>
      </xdr:nvSpPr>
      <xdr:spPr>
        <a:xfrm flipH="1">
          <a:off x="10687050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1000125</xdr:colOff>
      <xdr:row>28</xdr:row>
      <xdr:rowOff>0</xdr:rowOff>
    </xdr:from>
    <xdr:to>
      <xdr:col>9</xdr:col>
      <xdr:colOff>1000125</xdr:colOff>
      <xdr:row>28</xdr:row>
      <xdr:rowOff>0</xdr:rowOff>
    </xdr:to>
    <xdr:sp>
      <xdr:nvSpPr>
        <xdr:cNvPr id="52" name="Line 694"/>
        <xdr:cNvSpPr>
          <a:spLocks/>
        </xdr:cNvSpPr>
      </xdr:nvSpPr>
      <xdr:spPr>
        <a:xfrm>
          <a:off x="1168717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1000125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53" name="Line 701"/>
        <xdr:cNvSpPr>
          <a:spLocks/>
        </xdr:cNvSpPr>
      </xdr:nvSpPr>
      <xdr:spPr>
        <a:xfrm flipH="1">
          <a:off x="10687050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28</xdr:row>
      <xdr:rowOff>0</xdr:rowOff>
    </xdr:from>
    <xdr:to>
      <xdr:col>9</xdr:col>
      <xdr:colOff>647700</xdr:colOff>
      <xdr:row>28</xdr:row>
      <xdr:rowOff>0</xdr:rowOff>
    </xdr:to>
    <xdr:sp>
      <xdr:nvSpPr>
        <xdr:cNvPr id="54" name="Line 702"/>
        <xdr:cNvSpPr>
          <a:spLocks/>
        </xdr:cNvSpPr>
      </xdr:nvSpPr>
      <xdr:spPr>
        <a:xfrm flipV="1">
          <a:off x="10763250" y="12592050"/>
          <a:ext cx="571500" cy="0"/>
        </a:xfrm>
        <a:prstGeom prst="lin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55" name="Line 704"/>
        <xdr:cNvSpPr>
          <a:spLocks/>
        </xdr:cNvSpPr>
      </xdr:nvSpPr>
      <xdr:spPr>
        <a:xfrm>
          <a:off x="10687050" y="12592050"/>
          <a:ext cx="0" cy="0"/>
        </a:xfrm>
        <a:prstGeom prst="lin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6" name="Line 709"/>
        <xdr:cNvSpPr>
          <a:spLocks/>
        </xdr:cNvSpPr>
      </xdr:nvSpPr>
      <xdr:spPr>
        <a:xfrm flipV="1">
          <a:off x="1959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7" name="Line 710"/>
        <xdr:cNvSpPr>
          <a:spLocks/>
        </xdr:cNvSpPr>
      </xdr:nvSpPr>
      <xdr:spPr>
        <a:xfrm flipV="1">
          <a:off x="1959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8" name="Line 711"/>
        <xdr:cNvSpPr>
          <a:spLocks/>
        </xdr:cNvSpPr>
      </xdr:nvSpPr>
      <xdr:spPr>
        <a:xfrm flipV="1">
          <a:off x="1959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9" name="Line 717"/>
        <xdr:cNvSpPr>
          <a:spLocks/>
        </xdr:cNvSpPr>
      </xdr:nvSpPr>
      <xdr:spPr>
        <a:xfrm rot="15000000">
          <a:off x="1959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21</xdr:row>
      <xdr:rowOff>0</xdr:rowOff>
    </xdr:from>
    <xdr:to>
      <xdr:col>17</xdr:col>
      <xdr:colOff>0</xdr:colOff>
      <xdr:row>21</xdr:row>
      <xdr:rowOff>0</xdr:rowOff>
    </xdr:to>
    <xdr:sp>
      <xdr:nvSpPr>
        <xdr:cNvPr id="60" name="Rectangle 823"/>
        <xdr:cNvSpPr>
          <a:spLocks/>
        </xdr:cNvSpPr>
      </xdr:nvSpPr>
      <xdr:spPr>
        <a:xfrm>
          <a:off x="19592925" y="10191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61" name="Line 895"/>
        <xdr:cNvSpPr>
          <a:spLocks/>
        </xdr:cNvSpPr>
      </xdr:nvSpPr>
      <xdr:spPr>
        <a:xfrm flipH="1" flipV="1">
          <a:off x="1959292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62" name="Line 903"/>
        <xdr:cNvSpPr>
          <a:spLocks/>
        </xdr:cNvSpPr>
      </xdr:nvSpPr>
      <xdr:spPr>
        <a:xfrm>
          <a:off x="1959292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63" name="Line 904"/>
        <xdr:cNvSpPr>
          <a:spLocks/>
        </xdr:cNvSpPr>
      </xdr:nvSpPr>
      <xdr:spPr>
        <a:xfrm>
          <a:off x="1959292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64" name="Line 905"/>
        <xdr:cNvSpPr>
          <a:spLocks/>
        </xdr:cNvSpPr>
      </xdr:nvSpPr>
      <xdr:spPr>
        <a:xfrm flipV="1">
          <a:off x="1959292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65" name="Line 914"/>
        <xdr:cNvSpPr>
          <a:spLocks/>
        </xdr:cNvSpPr>
      </xdr:nvSpPr>
      <xdr:spPr>
        <a:xfrm flipH="1" flipV="1">
          <a:off x="1959292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66" name="Line 921"/>
        <xdr:cNvSpPr>
          <a:spLocks/>
        </xdr:cNvSpPr>
      </xdr:nvSpPr>
      <xdr:spPr>
        <a:xfrm>
          <a:off x="1959292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67" name="Line 922"/>
        <xdr:cNvSpPr>
          <a:spLocks/>
        </xdr:cNvSpPr>
      </xdr:nvSpPr>
      <xdr:spPr>
        <a:xfrm flipV="1">
          <a:off x="1959292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68" name="Line 930"/>
        <xdr:cNvSpPr>
          <a:spLocks/>
        </xdr:cNvSpPr>
      </xdr:nvSpPr>
      <xdr:spPr>
        <a:xfrm>
          <a:off x="1959292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69" name="Line 933"/>
        <xdr:cNvSpPr>
          <a:spLocks/>
        </xdr:cNvSpPr>
      </xdr:nvSpPr>
      <xdr:spPr>
        <a:xfrm flipH="1" flipV="1">
          <a:off x="1959292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70" name="Line 946"/>
        <xdr:cNvSpPr>
          <a:spLocks/>
        </xdr:cNvSpPr>
      </xdr:nvSpPr>
      <xdr:spPr>
        <a:xfrm flipH="1">
          <a:off x="1959292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71" name="Line 947"/>
        <xdr:cNvSpPr>
          <a:spLocks/>
        </xdr:cNvSpPr>
      </xdr:nvSpPr>
      <xdr:spPr>
        <a:xfrm>
          <a:off x="1959292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72" name="Line 948"/>
        <xdr:cNvSpPr>
          <a:spLocks/>
        </xdr:cNvSpPr>
      </xdr:nvSpPr>
      <xdr:spPr>
        <a:xfrm>
          <a:off x="1959292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73" name="Line 949"/>
        <xdr:cNvSpPr>
          <a:spLocks/>
        </xdr:cNvSpPr>
      </xdr:nvSpPr>
      <xdr:spPr>
        <a:xfrm flipV="1">
          <a:off x="1959292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74" name="Line 958"/>
        <xdr:cNvSpPr>
          <a:spLocks/>
        </xdr:cNvSpPr>
      </xdr:nvSpPr>
      <xdr:spPr>
        <a:xfrm flipV="1">
          <a:off x="1959292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75" name="Line 966"/>
        <xdr:cNvSpPr>
          <a:spLocks/>
        </xdr:cNvSpPr>
      </xdr:nvSpPr>
      <xdr:spPr>
        <a:xfrm flipH="1" flipV="1">
          <a:off x="1959292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76" name="Line 974"/>
        <xdr:cNvSpPr>
          <a:spLocks/>
        </xdr:cNvSpPr>
      </xdr:nvSpPr>
      <xdr:spPr>
        <a:xfrm>
          <a:off x="1959292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77" name="Line 975"/>
        <xdr:cNvSpPr>
          <a:spLocks/>
        </xdr:cNvSpPr>
      </xdr:nvSpPr>
      <xdr:spPr>
        <a:xfrm>
          <a:off x="1959292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78" name="Line 976"/>
        <xdr:cNvSpPr>
          <a:spLocks/>
        </xdr:cNvSpPr>
      </xdr:nvSpPr>
      <xdr:spPr>
        <a:xfrm flipV="1">
          <a:off x="1959292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79" name="Line 985"/>
        <xdr:cNvSpPr>
          <a:spLocks/>
        </xdr:cNvSpPr>
      </xdr:nvSpPr>
      <xdr:spPr>
        <a:xfrm flipH="1" flipV="1">
          <a:off x="1959292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80" name="Line 992"/>
        <xdr:cNvSpPr>
          <a:spLocks/>
        </xdr:cNvSpPr>
      </xdr:nvSpPr>
      <xdr:spPr>
        <a:xfrm>
          <a:off x="1959292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81" name="Line 993"/>
        <xdr:cNvSpPr>
          <a:spLocks/>
        </xdr:cNvSpPr>
      </xdr:nvSpPr>
      <xdr:spPr>
        <a:xfrm flipV="1">
          <a:off x="1959292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82" name="Line 1001"/>
        <xdr:cNvSpPr>
          <a:spLocks/>
        </xdr:cNvSpPr>
      </xdr:nvSpPr>
      <xdr:spPr>
        <a:xfrm>
          <a:off x="1959292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83" name="Line 1004"/>
        <xdr:cNvSpPr>
          <a:spLocks/>
        </xdr:cNvSpPr>
      </xdr:nvSpPr>
      <xdr:spPr>
        <a:xfrm flipH="1" flipV="1">
          <a:off x="1959292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84" name="Line 1017"/>
        <xdr:cNvSpPr>
          <a:spLocks/>
        </xdr:cNvSpPr>
      </xdr:nvSpPr>
      <xdr:spPr>
        <a:xfrm flipH="1">
          <a:off x="1959292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85" name="Line 1018"/>
        <xdr:cNvSpPr>
          <a:spLocks/>
        </xdr:cNvSpPr>
      </xdr:nvSpPr>
      <xdr:spPr>
        <a:xfrm>
          <a:off x="1959292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86" name="Line 1019"/>
        <xdr:cNvSpPr>
          <a:spLocks/>
        </xdr:cNvSpPr>
      </xdr:nvSpPr>
      <xdr:spPr>
        <a:xfrm>
          <a:off x="1959292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87" name="Line 1020"/>
        <xdr:cNvSpPr>
          <a:spLocks/>
        </xdr:cNvSpPr>
      </xdr:nvSpPr>
      <xdr:spPr>
        <a:xfrm flipV="1">
          <a:off x="1959292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88" name="Line 1029"/>
        <xdr:cNvSpPr>
          <a:spLocks/>
        </xdr:cNvSpPr>
      </xdr:nvSpPr>
      <xdr:spPr>
        <a:xfrm flipV="1">
          <a:off x="1959292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952500</xdr:colOff>
      <xdr:row>0</xdr:row>
      <xdr:rowOff>0</xdr:rowOff>
    </xdr:from>
    <xdr:to>
      <xdr:col>9</xdr:col>
      <xdr:colOff>1000125</xdr:colOff>
      <xdr:row>0</xdr:row>
      <xdr:rowOff>0</xdr:rowOff>
    </xdr:to>
    <xdr:sp>
      <xdr:nvSpPr>
        <xdr:cNvPr id="89" name="Line 1171"/>
        <xdr:cNvSpPr>
          <a:spLocks/>
        </xdr:cNvSpPr>
      </xdr:nvSpPr>
      <xdr:spPr>
        <a:xfrm>
          <a:off x="11639550" y="0"/>
          <a:ext cx="47625" cy="0"/>
        </a:xfrm>
        <a:prstGeom prst="lin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971550</xdr:colOff>
      <xdr:row>0</xdr:row>
      <xdr:rowOff>0</xdr:rowOff>
    </xdr:from>
    <xdr:to>
      <xdr:col>9</xdr:col>
      <xdr:colOff>1000125</xdr:colOff>
      <xdr:row>0</xdr:row>
      <xdr:rowOff>0</xdr:rowOff>
    </xdr:to>
    <xdr:sp>
      <xdr:nvSpPr>
        <xdr:cNvPr id="90" name="Line 1172"/>
        <xdr:cNvSpPr>
          <a:spLocks/>
        </xdr:cNvSpPr>
      </xdr:nvSpPr>
      <xdr:spPr>
        <a:xfrm>
          <a:off x="11658600" y="0"/>
          <a:ext cx="28575" cy="0"/>
        </a:xfrm>
        <a:prstGeom prst="lin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1000125</xdr:colOff>
      <xdr:row>0</xdr:row>
      <xdr:rowOff>0</xdr:rowOff>
    </xdr:from>
    <xdr:to>
      <xdr:col>9</xdr:col>
      <xdr:colOff>1000125</xdr:colOff>
      <xdr:row>0</xdr:row>
      <xdr:rowOff>0</xdr:rowOff>
    </xdr:to>
    <xdr:sp>
      <xdr:nvSpPr>
        <xdr:cNvPr id="91" name="Line 1185"/>
        <xdr:cNvSpPr>
          <a:spLocks/>
        </xdr:cNvSpPr>
      </xdr:nvSpPr>
      <xdr:spPr>
        <a:xfrm>
          <a:off x="11687175" y="0"/>
          <a:ext cx="0" cy="0"/>
        </a:xfrm>
        <a:prstGeom prst="lin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400050</xdr:colOff>
      <xdr:row>0</xdr:row>
      <xdr:rowOff>0</xdr:rowOff>
    </xdr:from>
    <xdr:to>
      <xdr:col>8</xdr:col>
      <xdr:colOff>1000125</xdr:colOff>
      <xdr:row>0</xdr:row>
      <xdr:rowOff>0</xdr:rowOff>
    </xdr:to>
    <xdr:sp>
      <xdr:nvSpPr>
        <xdr:cNvPr id="92" name="Line 1186"/>
        <xdr:cNvSpPr>
          <a:spLocks/>
        </xdr:cNvSpPr>
      </xdr:nvSpPr>
      <xdr:spPr>
        <a:xfrm>
          <a:off x="10086975" y="0"/>
          <a:ext cx="600075" cy="0"/>
        </a:xfrm>
        <a:prstGeom prst="lin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3" name="Line 1232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1000125</xdr:colOff>
      <xdr:row>0</xdr:row>
      <xdr:rowOff>0</xdr:rowOff>
    </xdr:from>
    <xdr:to>
      <xdr:col>9</xdr:col>
      <xdr:colOff>1000125</xdr:colOff>
      <xdr:row>0</xdr:row>
      <xdr:rowOff>0</xdr:rowOff>
    </xdr:to>
    <xdr:sp>
      <xdr:nvSpPr>
        <xdr:cNvPr id="94" name="Line 1236"/>
        <xdr:cNvSpPr>
          <a:spLocks/>
        </xdr:cNvSpPr>
      </xdr:nvSpPr>
      <xdr:spPr>
        <a:xfrm>
          <a:off x="11687175" y="0"/>
          <a:ext cx="0" cy="0"/>
        </a:xfrm>
        <a:prstGeom prst="lin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952500</xdr:colOff>
      <xdr:row>0</xdr:row>
      <xdr:rowOff>0</xdr:rowOff>
    </xdr:from>
    <xdr:to>
      <xdr:col>8</xdr:col>
      <xdr:colOff>1000125</xdr:colOff>
      <xdr:row>0</xdr:row>
      <xdr:rowOff>0</xdr:rowOff>
    </xdr:to>
    <xdr:sp>
      <xdr:nvSpPr>
        <xdr:cNvPr id="95" name="Line 1243"/>
        <xdr:cNvSpPr>
          <a:spLocks/>
        </xdr:cNvSpPr>
      </xdr:nvSpPr>
      <xdr:spPr>
        <a:xfrm>
          <a:off x="10639425" y="0"/>
          <a:ext cx="47625" cy="0"/>
        </a:xfrm>
        <a:prstGeom prst="lin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971550</xdr:colOff>
      <xdr:row>0</xdr:row>
      <xdr:rowOff>0</xdr:rowOff>
    </xdr:from>
    <xdr:to>
      <xdr:col>8</xdr:col>
      <xdr:colOff>1000125</xdr:colOff>
      <xdr:row>0</xdr:row>
      <xdr:rowOff>0</xdr:rowOff>
    </xdr:to>
    <xdr:sp>
      <xdr:nvSpPr>
        <xdr:cNvPr id="96" name="Line 1244"/>
        <xdr:cNvSpPr>
          <a:spLocks/>
        </xdr:cNvSpPr>
      </xdr:nvSpPr>
      <xdr:spPr>
        <a:xfrm>
          <a:off x="10658475" y="0"/>
          <a:ext cx="28575" cy="0"/>
        </a:xfrm>
        <a:prstGeom prst="lin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1000125</xdr:colOff>
      <xdr:row>0</xdr:row>
      <xdr:rowOff>0</xdr:rowOff>
    </xdr:from>
    <xdr:to>
      <xdr:col>8</xdr:col>
      <xdr:colOff>1000125</xdr:colOff>
      <xdr:row>0</xdr:row>
      <xdr:rowOff>0</xdr:rowOff>
    </xdr:to>
    <xdr:sp>
      <xdr:nvSpPr>
        <xdr:cNvPr id="97" name="Line 1245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1000125</xdr:colOff>
      <xdr:row>0</xdr:row>
      <xdr:rowOff>0</xdr:rowOff>
    </xdr:from>
    <xdr:to>
      <xdr:col>8</xdr:col>
      <xdr:colOff>1000125</xdr:colOff>
      <xdr:row>0</xdr:row>
      <xdr:rowOff>0</xdr:rowOff>
    </xdr:to>
    <xdr:sp>
      <xdr:nvSpPr>
        <xdr:cNvPr id="98" name="Line 1251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1000125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99" name="Line 1273"/>
        <xdr:cNvSpPr>
          <a:spLocks/>
        </xdr:cNvSpPr>
      </xdr:nvSpPr>
      <xdr:spPr>
        <a:xfrm flipH="1">
          <a:off x="10687050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1000125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100" name="Line 1292"/>
        <xdr:cNvSpPr>
          <a:spLocks/>
        </xdr:cNvSpPr>
      </xdr:nvSpPr>
      <xdr:spPr>
        <a:xfrm flipH="1">
          <a:off x="10687050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1000125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101" name="Line 1312"/>
        <xdr:cNvSpPr>
          <a:spLocks/>
        </xdr:cNvSpPr>
      </xdr:nvSpPr>
      <xdr:spPr>
        <a:xfrm flipH="1">
          <a:off x="10687050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102" name="Line 1315"/>
        <xdr:cNvSpPr>
          <a:spLocks/>
        </xdr:cNvSpPr>
      </xdr:nvSpPr>
      <xdr:spPr>
        <a:xfrm>
          <a:off x="10687050" y="12592050"/>
          <a:ext cx="0" cy="0"/>
        </a:xfrm>
        <a:prstGeom prst="lin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103" name="Line 1320"/>
        <xdr:cNvSpPr>
          <a:spLocks/>
        </xdr:cNvSpPr>
      </xdr:nvSpPr>
      <xdr:spPr>
        <a:xfrm flipH="1" flipV="1">
          <a:off x="1959292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104" name="Line 1328"/>
        <xdr:cNvSpPr>
          <a:spLocks/>
        </xdr:cNvSpPr>
      </xdr:nvSpPr>
      <xdr:spPr>
        <a:xfrm>
          <a:off x="1959292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105" name="Line 1329"/>
        <xdr:cNvSpPr>
          <a:spLocks/>
        </xdr:cNvSpPr>
      </xdr:nvSpPr>
      <xdr:spPr>
        <a:xfrm>
          <a:off x="1959292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106" name="Line 1330"/>
        <xdr:cNvSpPr>
          <a:spLocks/>
        </xdr:cNvSpPr>
      </xdr:nvSpPr>
      <xdr:spPr>
        <a:xfrm flipV="1">
          <a:off x="1959292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107" name="Line 1339"/>
        <xdr:cNvSpPr>
          <a:spLocks/>
        </xdr:cNvSpPr>
      </xdr:nvSpPr>
      <xdr:spPr>
        <a:xfrm flipH="1" flipV="1">
          <a:off x="1959292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108" name="Line 1346"/>
        <xdr:cNvSpPr>
          <a:spLocks/>
        </xdr:cNvSpPr>
      </xdr:nvSpPr>
      <xdr:spPr>
        <a:xfrm>
          <a:off x="1959292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109" name="Line 1347"/>
        <xdr:cNvSpPr>
          <a:spLocks/>
        </xdr:cNvSpPr>
      </xdr:nvSpPr>
      <xdr:spPr>
        <a:xfrm flipV="1">
          <a:off x="1959292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110" name="Line 1355"/>
        <xdr:cNvSpPr>
          <a:spLocks/>
        </xdr:cNvSpPr>
      </xdr:nvSpPr>
      <xdr:spPr>
        <a:xfrm>
          <a:off x="1959292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111" name="Line 1358"/>
        <xdr:cNvSpPr>
          <a:spLocks/>
        </xdr:cNvSpPr>
      </xdr:nvSpPr>
      <xdr:spPr>
        <a:xfrm flipH="1" flipV="1">
          <a:off x="1959292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112" name="Line 1371"/>
        <xdr:cNvSpPr>
          <a:spLocks/>
        </xdr:cNvSpPr>
      </xdr:nvSpPr>
      <xdr:spPr>
        <a:xfrm flipH="1">
          <a:off x="1959292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113" name="Line 1372"/>
        <xdr:cNvSpPr>
          <a:spLocks/>
        </xdr:cNvSpPr>
      </xdr:nvSpPr>
      <xdr:spPr>
        <a:xfrm>
          <a:off x="1959292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114" name="Line 1373"/>
        <xdr:cNvSpPr>
          <a:spLocks/>
        </xdr:cNvSpPr>
      </xdr:nvSpPr>
      <xdr:spPr>
        <a:xfrm>
          <a:off x="1959292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115" name="Line 1374"/>
        <xdr:cNvSpPr>
          <a:spLocks/>
        </xdr:cNvSpPr>
      </xdr:nvSpPr>
      <xdr:spPr>
        <a:xfrm flipV="1">
          <a:off x="1959292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116" name="Line 1383"/>
        <xdr:cNvSpPr>
          <a:spLocks/>
        </xdr:cNvSpPr>
      </xdr:nvSpPr>
      <xdr:spPr>
        <a:xfrm flipV="1">
          <a:off x="1959292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1000125</xdr:colOff>
      <xdr:row>22</xdr:row>
      <xdr:rowOff>76200</xdr:rowOff>
    </xdr:from>
    <xdr:to>
      <xdr:col>9</xdr:col>
      <xdr:colOff>0</xdr:colOff>
      <xdr:row>22</xdr:row>
      <xdr:rowOff>76200</xdr:rowOff>
    </xdr:to>
    <xdr:sp>
      <xdr:nvSpPr>
        <xdr:cNvPr id="117" name="Line 1416"/>
        <xdr:cNvSpPr>
          <a:spLocks/>
        </xdr:cNvSpPr>
      </xdr:nvSpPr>
      <xdr:spPr>
        <a:xfrm flipH="1">
          <a:off x="10687050" y="1061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1000125</xdr:colOff>
      <xdr:row>22</xdr:row>
      <xdr:rowOff>76200</xdr:rowOff>
    </xdr:from>
    <xdr:to>
      <xdr:col>9</xdr:col>
      <xdr:colOff>0</xdr:colOff>
      <xdr:row>22</xdr:row>
      <xdr:rowOff>76200</xdr:rowOff>
    </xdr:to>
    <xdr:sp>
      <xdr:nvSpPr>
        <xdr:cNvPr id="118" name="Line 1435"/>
        <xdr:cNvSpPr>
          <a:spLocks/>
        </xdr:cNvSpPr>
      </xdr:nvSpPr>
      <xdr:spPr>
        <a:xfrm flipH="1">
          <a:off x="10687050" y="1061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1000125</xdr:colOff>
      <xdr:row>22</xdr:row>
      <xdr:rowOff>76200</xdr:rowOff>
    </xdr:from>
    <xdr:to>
      <xdr:col>9</xdr:col>
      <xdr:colOff>0</xdr:colOff>
      <xdr:row>22</xdr:row>
      <xdr:rowOff>76200</xdr:rowOff>
    </xdr:to>
    <xdr:sp>
      <xdr:nvSpPr>
        <xdr:cNvPr id="119" name="Line 1457"/>
        <xdr:cNvSpPr>
          <a:spLocks/>
        </xdr:cNvSpPr>
      </xdr:nvSpPr>
      <xdr:spPr>
        <a:xfrm flipH="1">
          <a:off x="10687050" y="1061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9525</xdr:rowOff>
    </xdr:from>
    <xdr:to>
      <xdr:col>9</xdr:col>
      <xdr:colOff>0</xdr:colOff>
      <xdr:row>22</xdr:row>
      <xdr:rowOff>66675</xdr:rowOff>
    </xdr:to>
    <xdr:sp>
      <xdr:nvSpPr>
        <xdr:cNvPr id="120" name="Line 1460"/>
        <xdr:cNvSpPr>
          <a:spLocks/>
        </xdr:cNvSpPr>
      </xdr:nvSpPr>
      <xdr:spPr>
        <a:xfrm>
          <a:off x="10687050" y="9515475"/>
          <a:ext cx="0" cy="1085850"/>
        </a:xfrm>
        <a:prstGeom prst="lin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1000125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121" name="Line 1483"/>
        <xdr:cNvSpPr>
          <a:spLocks/>
        </xdr:cNvSpPr>
      </xdr:nvSpPr>
      <xdr:spPr>
        <a:xfrm flipH="1">
          <a:off x="10687050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1000125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122" name="Line 1499"/>
        <xdr:cNvSpPr>
          <a:spLocks/>
        </xdr:cNvSpPr>
      </xdr:nvSpPr>
      <xdr:spPr>
        <a:xfrm flipH="1">
          <a:off x="10687050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1000125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123" name="Line 1515"/>
        <xdr:cNvSpPr>
          <a:spLocks/>
        </xdr:cNvSpPr>
      </xdr:nvSpPr>
      <xdr:spPr>
        <a:xfrm flipH="1">
          <a:off x="10687050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124" name="Line 1518"/>
        <xdr:cNvSpPr>
          <a:spLocks/>
        </xdr:cNvSpPr>
      </xdr:nvSpPr>
      <xdr:spPr>
        <a:xfrm>
          <a:off x="10687050" y="12592050"/>
          <a:ext cx="0" cy="0"/>
        </a:xfrm>
        <a:prstGeom prst="lin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1000125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125" name="Line 1533"/>
        <xdr:cNvSpPr>
          <a:spLocks/>
        </xdr:cNvSpPr>
      </xdr:nvSpPr>
      <xdr:spPr>
        <a:xfrm flipH="1">
          <a:off x="10687050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1000125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126" name="Line 1542"/>
        <xdr:cNvSpPr>
          <a:spLocks/>
        </xdr:cNvSpPr>
      </xdr:nvSpPr>
      <xdr:spPr>
        <a:xfrm flipH="1">
          <a:off x="10687050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1000125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127" name="Line 1547"/>
        <xdr:cNvSpPr>
          <a:spLocks/>
        </xdr:cNvSpPr>
      </xdr:nvSpPr>
      <xdr:spPr>
        <a:xfrm flipH="1">
          <a:off x="10687050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128" name="Line 1550"/>
        <xdr:cNvSpPr>
          <a:spLocks/>
        </xdr:cNvSpPr>
      </xdr:nvSpPr>
      <xdr:spPr>
        <a:xfrm>
          <a:off x="10687050" y="12592050"/>
          <a:ext cx="0" cy="0"/>
        </a:xfrm>
        <a:prstGeom prst="lin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1000125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129" name="Line 1565"/>
        <xdr:cNvSpPr>
          <a:spLocks/>
        </xdr:cNvSpPr>
      </xdr:nvSpPr>
      <xdr:spPr>
        <a:xfrm flipH="1">
          <a:off x="10687050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1000125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130" name="Line 1566"/>
        <xdr:cNvSpPr>
          <a:spLocks/>
        </xdr:cNvSpPr>
      </xdr:nvSpPr>
      <xdr:spPr>
        <a:xfrm flipH="1">
          <a:off x="10687050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1000125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131" name="Line 1567"/>
        <xdr:cNvSpPr>
          <a:spLocks/>
        </xdr:cNvSpPr>
      </xdr:nvSpPr>
      <xdr:spPr>
        <a:xfrm flipH="1">
          <a:off x="10687050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132" name="Line 1568"/>
        <xdr:cNvSpPr>
          <a:spLocks/>
        </xdr:cNvSpPr>
      </xdr:nvSpPr>
      <xdr:spPr>
        <a:xfrm>
          <a:off x="10687050" y="12592050"/>
          <a:ext cx="0" cy="0"/>
        </a:xfrm>
        <a:prstGeom prst="lin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133" name="Line 1571"/>
        <xdr:cNvSpPr>
          <a:spLocks/>
        </xdr:cNvSpPr>
      </xdr:nvSpPr>
      <xdr:spPr>
        <a:xfrm flipH="1" flipV="1">
          <a:off x="1959292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134" name="Line 1579"/>
        <xdr:cNvSpPr>
          <a:spLocks/>
        </xdr:cNvSpPr>
      </xdr:nvSpPr>
      <xdr:spPr>
        <a:xfrm>
          <a:off x="1959292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135" name="Line 1580"/>
        <xdr:cNvSpPr>
          <a:spLocks/>
        </xdr:cNvSpPr>
      </xdr:nvSpPr>
      <xdr:spPr>
        <a:xfrm>
          <a:off x="1959292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136" name="Line 1581"/>
        <xdr:cNvSpPr>
          <a:spLocks/>
        </xdr:cNvSpPr>
      </xdr:nvSpPr>
      <xdr:spPr>
        <a:xfrm flipV="1">
          <a:off x="1959292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137" name="Line 1590"/>
        <xdr:cNvSpPr>
          <a:spLocks/>
        </xdr:cNvSpPr>
      </xdr:nvSpPr>
      <xdr:spPr>
        <a:xfrm flipH="1" flipV="1">
          <a:off x="1959292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138" name="Line 1597"/>
        <xdr:cNvSpPr>
          <a:spLocks/>
        </xdr:cNvSpPr>
      </xdr:nvSpPr>
      <xdr:spPr>
        <a:xfrm>
          <a:off x="1959292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139" name="Line 1598"/>
        <xdr:cNvSpPr>
          <a:spLocks/>
        </xdr:cNvSpPr>
      </xdr:nvSpPr>
      <xdr:spPr>
        <a:xfrm flipV="1">
          <a:off x="1959292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140" name="Line 1606"/>
        <xdr:cNvSpPr>
          <a:spLocks/>
        </xdr:cNvSpPr>
      </xdr:nvSpPr>
      <xdr:spPr>
        <a:xfrm>
          <a:off x="1959292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141" name="Line 1609"/>
        <xdr:cNvSpPr>
          <a:spLocks/>
        </xdr:cNvSpPr>
      </xdr:nvSpPr>
      <xdr:spPr>
        <a:xfrm flipH="1" flipV="1">
          <a:off x="1959292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142" name="Line 1622"/>
        <xdr:cNvSpPr>
          <a:spLocks/>
        </xdr:cNvSpPr>
      </xdr:nvSpPr>
      <xdr:spPr>
        <a:xfrm flipH="1">
          <a:off x="1959292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143" name="Line 1623"/>
        <xdr:cNvSpPr>
          <a:spLocks/>
        </xdr:cNvSpPr>
      </xdr:nvSpPr>
      <xdr:spPr>
        <a:xfrm>
          <a:off x="1959292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144" name="Line 1624"/>
        <xdr:cNvSpPr>
          <a:spLocks/>
        </xdr:cNvSpPr>
      </xdr:nvSpPr>
      <xdr:spPr>
        <a:xfrm>
          <a:off x="1959292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145" name="Line 1625"/>
        <xdr:cNvSpPr>
          <a:spLocks/>
        </xdr:cNvSpPr>
      </xdr:nvSpPr>
      <xdr:spPr>
        <a:xfrm flipV="1">
          <a:off x="1959292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146" name="Line 1634"/>
        <xdr:cNvSpPr>
          <a:spLocks/>
        </xdr:cNvSpPr>
      </xdr:nvSpPr>
      <xdr:spPr>
        <a:xfrm flipV="1">
          <a:off x="1959292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1000125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147" name="Line 1640"/>
        <xdr:cNvSpPr>
          <a:spLocks/>
        </xdr:cNvSpPr>
      </xdr:nvSpPr>
      <xdr:spPr>
        <a:xfrm flipH="1">
          <a:off x="10687050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1000125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148" name="Line 1641"/>
        <xdr:cNvSpPr>
          <a:spLocks/>
        </xdr:cNvSpPr>
      </xdr:nvSpPr>
      <xdr:spPr>
        <a:xfrm flipH="1">
          <a:off x="10687050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1000125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149" name="Line 1642"/>
        <xdr:cNvSpPr>
          <a:spLocks/>
        </xdr:cNvSpPr>
      </xdr:nvSpPr>
      <xdr:spPr>
        <a:xfrm flipH="1">
          <a:off x="10687050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150" name="Line 1643"/>
        <xdr:cNvSpPr>
          <a:spLocks/>
        </xdr:cNvSpPr>
      </xdr:nvSpPr>
      <xdr:spPr>
        <a:xfrm>
          <a:off x="10687050" y="12592050"/>
          <a:ext cx="0" cy="0"/>
        </a:xfrm>
        <a:prstGeom prst="lin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151" name="Line 1646"/>
        <xdr:cNvSpPr>
          <a:spLocks/>
        </xdr:cNvSpPr>
      </xdr:nvSpPr>
      <xdr:spPr>
        <a:xfrm flipH="1" flipV="1">
          <a:off x="1959292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152" name="Line 1654"/>
        <xdr:cNvSpPr>
          <a:spLocks/>
        </xdr:cNvSpPr>
      </xdr:nvSpPr>
      <xdr:spPr>
        <a:xfrm>
          <a:off x="1959292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153" name="Line 1655"/>
        <xdr:cNvSpPr>
          <a:spLocks/>
        </xdr:cNvSpPr>
      </xdr:nvSpPr>
      <xdr:spPr>
        <a:xfrm>
          <a:off x="1959292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154" name="Line 1656"/>
        <xdr:cNvSpPr>
          <a:spLocks/>
        </xdr:cNvSpPr>
      </xdr:nvSpPr>
      <xdr:spPr>
        <a:xfrm flipV="1">
          <a:off x="1959292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155" name="Line 1665"/>
        <xdr:cNvSpPr>
          <a:spLocks/>
        </xdr:cNvSpPr>
      </xdr:nvSpPr>
      <xdr:spPr>
        <a:xfrm flipH="1" flipV="1">
          <a:off x="1959292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156" name="Line 1672"/>
        <xdr:cNvSpPr>
          <a:spLocks/>
        </xdr:cNvSpPr>
      </xdr:nvSpPr>
      <xdr:spPr>
        <a:xfrm>
          <a:off x="1959292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157" name="Line 1673"/>
        <xdr:cNvSpPr>
          <a:spLocks/>
        </xdr:cNvSpPr>
      </xdr:nvSpPr>
      <xdr:spPr>
        <a:xfrm flipV="1">
          <a:off x="1959292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158" name="Line 1681"/>
        <xdr:cNvSpPr>
          <a:spLocks/>
        </xdr:cNvSpPr>
      </xdr:nvSpPr>
      <xdr:spPr>
        <a:xfrm>
          <a:off x="1959292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159" name="Line 1684"/>
        <xdr:cNvSpPr>
          <a:spLocks/>
        </xdr:cNvSpPr>
      </xdr:nvSpPr>
      <xdr:spPr>
        <a:xfrm flipH="1" flipV="1">
          <a:off x="1959292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160" name="Line 1697"/>
        <xdr:cNvSpPr>
          <a:spLocks/>
        </xdr:cNvSpPr>
      </xdr:nvSpPr>
      <xdr:spPr>
        <a:xfrm flipH="1">
          <a:off x="1959292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161" name="Line 1698"/>
        <xdr:cNvSpPr>
          <a:spLocks/>
        </xdr:cNvSpPr>
      </xdr:nvSpPr>
      <xdr:spPr>
        <a:xfrm>
          <a:off x="1959292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162" name="Line 1699"/>
        <xdr:cNvSpPr>
          <a:spLocks/>
        </xdr:cNvSpPr>
      </xdr:nvSpPr>
      <xdr:spPr>
        <a:xfrm>
          <a:off x="1959292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163" name="Line 1700"/>
        <xdr:cNvSpPr>
          <a:spLocks/>
        </xdr:cNvSpPr>
      </xdr:nvSpPr>
      <xdr:spPr>
        <a:xfrm flipV="1">
          <a:off x="1959292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164" name="Line 1709"/>
        <xdr:cNvSpPr>
          <a:spLocks/>
        </xdr:cNvSpPr>
      </xdr:nvSpPr>
      <xdr:spPr>
        <a:xfrm flipV="1">
          <a:off x="1959292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1000125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165" name="Line 1719"/>
        <xdr:cNvSpPr>
          <a:spLocks/>
        </xdr:cNvSpPr>
      </xdr:nvSpPr>
      <xdr:spPr>
        <a:xfrm flipH="1">
          <a:off x="10687050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1000125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166" name="Line 1720"/>
        <xdr:cNvSpPr>
          <a:spLocks/>
        </xdr:cNvSpPr>
      </xdr:nvSpPr>
      <xdr:spPr>
        <a:xfrm flipH="1">
          <a:off x="10687050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1000125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167" name="Line 1721"/>
        <xdr:cNvSpPr>
          <a:spLocks/>
        </xdr:cNvSpPr>
      </xdr:nvSpPr>
      <xdr:spPr>
        <a:xfrm flipH="1">
          <a:off x="10687050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168" name="Line 1722"/>
        <xdr:cNvSpPr>
          <a:spLocks/>
        </xdr:cNvSpPr>
      </xdr:nvSpPr>
      <xdr:spPr>
        <a:xfrm>
          <a:off x="10687050" y="12592050"/>
          <a:ext cx="0" cy="0"/>
        </a:xfrm>
        <a:prstGeom prst="lin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1000125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169" name="Line 1723"/>
        <xdr:cNvSpPr>
          <a:spLocks/>
        </xdr:cNvSpPr>
      </xdr:nvSpPr>
      <xdr:spPr>
        <a:xfrm flipH="1">
          <a:off x="10687050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1000125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170" name="Line 1724"/>
        <xdr:cNvSpPr>
          <a:spLocks/>
        </xdr:cNvSpPr>
      </xdr:nvSpPr>
      <xdr:spPr>
        <a:xfrm flipH="1">
          <a:off x="10687050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1000125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171" name="Line 1725"/>
        <xdr:cNvSpPr>
          <a:spLocks/>
        </xdr:cNvSpPr>
      </xdr:nvSpPr>
      <xdr:spPr>
        <a:xfrm flipH="1">
          <a:off x="10687050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172" name="Line 1726"/>
        <xdr:cNvSpPr>
          <a:spLocks/>
        </xdr:cNvSpPr>
      </xdr:nvSpPr>
      <xdr:spPr>
        <a:xfrm>
          <a:off x="10687050" y="12592050"/>
          <a:ext cx="0" cy="0"/>
        </a:xfrm>
        <a:prstGeom prst="lin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1000125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173" name="Line 1729"/>
        <xdr:cNvSpPr>
          <a:spLocks/>
        </xdr:cNvSpPr>
      </xdr:nvSpPr>
      <xdr:spPr>
        <a:xfrm flipH="1">
          <a:off x="10687050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1000125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174" name="Line 1730"/>
        <xdr:cNvSpPr>
          <a:spLocks/>
        </xdr:cNvSpPr>
      </xdr:nvSpPr>
      <xdr:spPr>
        <a:xfrm flipH="1">
          <a:off x="10687050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1000125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175" name="Line 1731"/>
        <xdr:cNvSpPr>
          <a:spLocks/>
        </xdr:cNvSpPr>
      </xdr:nvSpPr>
      <xdr:spPr>
        <a:xfrm flipH="1">
          <a:off x="10687050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176" name="Line 1732"/>
        <xdr:cNvSpPr>
          <a:spLocks/>
        </xdr:cNvSpPr>
      </xdr:nvSpPr>
      <xdr:spPr>
        <a:xfrm>
          <a:off x="10687050" y="12592050"/>
          <a:ext cx="0" cy="0"/>
        </a:xfrm>
        <a:prstGeom prst="lin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177" name="Rectangle 1733"/>
        <xdr:cNvSpPr>
          <a:spLocks/>
        </xdr:cNvSpPr>
      </xdr:nvSpPr>
      <xdr:spPr>
        <a:xfrm>
          <a:off x="19592925" y="12592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1000125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178" name="Line 1734"/>
        <xdr:cNvSpPr>
          <a:spLocks/>
        </xdr:cNvSpPr>
      </xdr:nvSpPr>
      <xdr:spPr>
        <a:xfrm flipH="1">
          <a:off x="10687050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1000125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179" name="Line 1735"/>
        <xdr:cNvSpPr>
          <a:spLocks/>
        </xdr:cNvSpPr>
      </xdr:nvSpPr>
      <xdr:spPr>
        <a:xfrm flipH="1">
          <a:off x="10687050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1000125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180" name="Line 1736"/>
        <xdr:cNvSpPr>
          <a:spLocks/>
        </xdr:cNvSpPr>
      </xdr:nvSpPr>
      <xdr:spPr>
        <a:xfrm flipH="1">
          <a:off x="10687050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181" name="Line 1737"/>
        <xdr:cNvSpPr>
          <a:spLocks/>
        </xdr:cNvSpPr>
      </xdr:nvSpPr>
      <xdr:spPr>
        <a:xfrm>
          <a:off x="10687050" y="12592050"/>
          <a:ext cx="0" cy="0"/>
        </a:xfrm>
        <a:prstGeom prst="lin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11</xdr:col>
      <xdr:colOff>295275</xdr:colOff>
      <xdr:row>17</xdr:row>
      <xdr:rowOff>0</xdr:rowOff>
    </xdr:from>
    <xdr:to>
      <xdr:col>16</xdr:col>
      <xdr:colOff>219075</xdr:colOff>
      <xdr:row>26</xdr:row>
      <xdr:rowOff>323850</xdr:rowOff>
    </xdr:to>
    <xdr:pic>
      <xdr:nvPicPr>
        <xdr:cNvPr id="182" name="Picture 58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82575" y="8820150"/>
          <a:ext cx="5457825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67;&#12500;&#12540;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７号"/>
      <sheetName val="汚水ます深さ決定資料(水路等支障物件）"/>
      <sheetName val="汚水ます深さ決定資料 (宅内延長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view="pageBreakPreview" zoomScale="106" zoomScaleSheetLayoutView="106" zoomScalePageLayoutView="0" workbookViewId="0" topLeftCell="A1">
      <selection activeCell="C13" sqref="C13"/>
    </sheetView>
  </sheetViews>
  <sheetFormatPr defaultColWidth="9.00390625" defaultRowHeight="13.5" outlineLevelCol="1"/>
  <cols>
    <col min="1" max="1" width="3.375" style="645" customWidth="1"/>
    <col min="2" max="2" width="6.625" style="670" customWidth="1"/>
    <col min="3" max="5" width="9.25390625" style="645" customWidth="1"/>
    <col min="6" max="9" width="9.875" style="671" customWidth="1"/>
    <col min="10" max="12" width="15.875" style="671" customWidth="1"/>
    <col min="13" max="13" width="12.875" style="645" customWidth="1"/>
    <col min="14" max="14" width="3.375" style="645" customWidth="1"/>
    <col min="15" max="16" width="9.00390625" style="645" customWidth="1"/>
    <col min="17" max="20" width="9.00390625" style="645" hidden="1" customWidth="1" outlineLevel="1"/>
    <col min="21" max="21" width="9.00390625" style="645" customWidth="1" collapsed="1"/>
    <col min="22" max="16384" width="9.00390625" style="645" customWidth="1"/>
  </cols>
  <sheetData>
    <row r="1" spans="1:14" ht="19.5" customHeight="1">
      <c r="A1" s="640"/>
      <c r="B1" s="854" t="s">
        <v>190</v>
      </c>
      <c r="C1" s="854"/>
      <c r="D1" s="641"/>
      <c r="E1" s="855" t="s">
        <v>191</v>
      </c>
      <c r="F1" s="855"/>
      <c r="G1" s="855"/>
      <c r="H1" s="855"/>
      <c r="I1" s="855"/>
      <c r="J1" s="855"/>
      <c r="K1" s="642"/>
      <c r="L1" s="643"/>
      <c r="M1" s="641"/>
      <c r="N1" s="644"/>
    </row>
    <row r="2" spans="1:14" ht="19.5" customHeight="1">
      <c r="A2" s="646"/>
      <c r="B2" s="647"/>
      <c r="C2" s="648"/>
      <c r="D2" s="648"/>
      <c r="E2" s="856"/>
      <c r="F2" s="856"/>
      <c r="G2" s="856"/>
      <c r="H2" s="856"/>
      <c r="I2" s="856"/>
      <c r="J2" s="856"/>
      <c r="K2" s="857"/>
      <c r="L2" s="857"/>
      <c r="M2" s="857"/>
      <c r="N2" s="649"/>
    </row>
    <row r="3" spans="1:14" ht="19.5" customHeight="1">
      <c r="A3" s="646"/>
      <c r="B3" s="647"/>
      <c r="C3" s="648"/>
      <c r="D3" s="648"/>
      <c r="E3" s="648"/>
      <c r="F3" s="650"/>
      <c r="G3" s="650"/>
      <c r="H3" s="650"/>
      <c r="I3" s="650"/>
      <c r="J3" s="650"/>
      <c r="K3" s="650"/>
      <c r="L3" s="650"/>
      <c r="M3" s="648"/>
      <c r="N3" s="649"/>
    </row>
    <row r="4" spans="1:14" ht="19.5" customHeight="1">
      <c r="A4" s="646"/>
      <c r="B4" s="647"/>
      <c r="C4" s="648"/>
      <c r="D4" s="648"/>
      <c r="E4" s="648"/>
      <c r="F4" s="650"/>
      <c r="G4" s="650"/>
      <c r="H4" s="650"/>
      <c r="I4" s="650"/>
      <c r="J4" s="650"/>
      <c r="K4" s="650"/>
      <c r="L4" s="650"/>
      <c r="M4" s="648"/>
      <c r="N4" s="649"/>
    </row>
    <row r="5" spans="1:14" ht="19.5" customHeight="1">
      <c r="A5" s="646"/>
      <c r="B5" s="647"/>
      <c r="C5" s="648"/>
      <c r="D5" s="648"/>
      <c r="E5" s="648"/>
      <c r="F5" s="650"/>
      <c r="G5" s="650"/>
      <c r="H5" s="650"/>
      <c r="I5" s="650"/>
      <c r="J5" s="650"/>
      <c r="K5" s="650"/>
      <c r="L5" s="650"/>
      <c r="M5" s="648"/>
      <c r="N5" s="649"/>
    </row>
    <row r="6" spans="1:14" ht="19.5" customHeight="1">
      <c r="A6" s="646"/>
      <c r="B6" s="647"/>
      <c r="C6" s="648"/>
      <c r="D6" s="648"/>
      <c r="E6" s="648"/>
      <c r="F6" s="650"/>
      <c r="G6" s="650"/>
      <c r="H6" s="650"/>
      <c r="I6" s="650"/>
      <c r="J6" s="650"/>
      <c r="K6" s="650"/>
      <c r="L6" s="650"/>
      <c r="M6" s="648"/>
      <c r="N6" s="649"/>
    </row>
    <row r="7" spans="1:14" ht="19.5" customHeight="1">
      <c r="A7" s="646"/>
      <c r="B7" s="647"/>
      <c r="C7" s="648"/>
      <c r="D7" s="648"/>
      <c r="E7" s="648"/>
      <c r="F7" s="650"/>
      <c r="G7" s="650"/>
      <c r="H7" s="650"/>
      <c r="I7" s="650"/>
      <c r="J7" s="650"/>
      <c r="K7" s="650"/>
      <c r="L7" s="650"/>
      <c r="M7" s="648"/>
      <c r="N7" s="649"/>
    </row>
    <row r="8" spans="1:14" ht="19.5" customHeight="1">
      <c r="A8" s="646"/>
      <c r="B8" s="647"/>
      <c r="C8" s="648"/>
      <c r="D8" s="648"/>
      <c r="E8" s="648"/>
      <c r="F8" s="650"/>
      <c r="G8" s="650"/>
      <c r="H8" s="650"/>
      <c r="I8" s="650"/>
      <c r="J8" s="650"/>
      <c r="K8" s="650"/>
      <c r="L8" s="650"/>
      <c r="M8" s="648"/>
      <c r="N8" s="649"/>
    </row>
    <row r="9" spans="1:14" ht="19.5" customHeight="1">
      <c r="A9" s="646"/>
      <c r="B9" s="647"/>
      <c r="C9" s="648"/>
      <c r="D9" s="648"/>
      <c r="E9" s="648"/>
      <c r="F9" s="650"/>
      <c r="G9" s="650"/>
      <c r="H9" s="650"/>
      <c r="I9" s="650"/>
      <c r="J9" s="650"/>
      <c r="K9" s="650"/>
      <c r="L9" s="650"/>
      <c r="M9" s="648"/>
      <c r="N9" s="649"/>
    </row>
    <row r="10" spans="1:14" ht="19.5" customHeight="1">
      <c r="A10" s="646"/>
      <c r="B10" s="647"/>
      <c r="C10" s="648"/>
      <c r="D10" s="648"/>
      <c r="E10" s="648"/>
      <c r="F10" s="650"/>
      <c r="G10" s="650"/>
      <c r="H10" s="650"/>
      <c r="I10" s="650"/>
      <c r="J10" s="650"/>
      <c r="K10" s="650"/>
      <c r="L10" s="650"/>
      <c r="M10" s="648"/>
      <c r="N10" s="649"/>
    </row>
    <row r="11" spans="1:14" ht="19.5" customHeight="1">
      <c r="A11" s="646"/>
      <c r="B11" s="858" t="s">
        <v>192</v>
      </c>
      <c r="C11" s="858"/>
      <c r="D11" s="859" t="str">
        <f>'汚水ます深さ決定資料 (宅内延長)'!B4</f>
        <v>〇〇号汚水準幹線</v>
      </c>
      <c r="E11" s="860"/>
      <c r="F11" s="860"/>
      <c r="G11" s="861"/>
      <c r="H11" s="650"/>
      <c r="I11" s="862" t="s">
        <v>193</v>
      </c>
      <c r="J11" s="862"/>
      <c r="K11" s="862"/>
      <c r="L11" s="862"/>
      <c r="M11" s="862"/>
      <c r="N11" s="649"/>
    </row>
    <row r="12" spans="1:14" s="654" customFormat="1" ht="27.75" customHeight="1">
      <c r="A12" s="651"/>
      <c r="B12" s="652" t="s">
        <v>194</v>
      </c>
      <c r="C12" s="652" t="s">
        <v>195</v>
      </c>
      <c r="D12" s="652" t="s">
        <v>196</v>
      </c>
      <c r="E12" s="652" t="s">
        <v>197</v>
      </c>
      <c r="F12" s="652" t="s">
        <v>198</v>
      </c>
      <c r="G12" s="652" t="s">
        <v>199</v>
      </c>
      <c r="H12" s="652" t="s">
        <v>200</v>
      </c>
      <c r="I12" s="652" t="s">
        <v>201</v>
      </c>
      <c r="J12" s="652" t="s">
        <v>202</v>
      </c>
      <c r="K12" s="652" t="s">
        <v>203</v>
      </c>
      <c r="L12" s="652" t="s">
        <v>204</v>
      </c>
      <c r="M12" s="652" t="s">
        <v>205</v>
      </c>
      <c r="N12" s="653"/>
    </row>
    <row r="13" spans="1:20" s="654" customFormat="1" ht="27.75" customHeight="1">
      <c r="A13" s="651"/>
      <c r="B13" s="655">
        <f>IF('汚水ます深さ決定資料 (宅内延長)'!A7="","",'汚水ます深さ決定資料 (宅内延長)'!A7)</f>
        <v>1</v>
      </c>
      <c r="C13" s="656">
        <v>200</v>
      </c>
      <c r="D13" s="656">
        <v>150</v>
      </c>
      <c r="E13" s="656">
        <v>20</v>
      </c>
      <c r="F13" s="657">
        <f>IF('汚水ます深さ決定資料(水路等支障物件）'!P8="","",'汚水ます深さ決定資料(水路等支障物件）'!P8)</f>
        <v>1.15</v>
      </c>
      <c r="G13" s="658">
        <v>3.35</v>
      </c>
      <c r="H13" s="659">
        <v>20.9</v>
      </c>
      <c r="I13" s="656"/>
      <c r="J13" s="660" t="s">
        <v>211</v>
      </c>
      <c r="K13" s="660" t="s">
        <v>212</v>
      </c>
      <c r="L13" s="660" t="s">
        <v>214</v>
      </c>
      <c r="M13" s="661">
        <f>IF('汚水ます深さ決定資料(水路等支障物件）'!Q8="","",'汚水ます深さ決定資料(水路等支障物件）'!Q8)</f>
      </c>
      <c r="N13" s="653"/>
      <c r="R13" s="654">
        <v>15</v>
      </c>
      <c r="S13" s="654">
        <v>20</v>
      </c>
      <c r="T13" s="654">
        <v>75</v>
      </c>
    </row>
    <row r="14" spans="1:14" s="654" customFormat="1" ht="27.75" customHeight="1">
      <c r="A14" s="651"/>
      <c r="B14" s="655">
        <f>IF('汚水ます深さ決定資料 (宅内延長)'!A8="","",'汚水ます深さ決定資料 (宅内延長)'!A8)</f>
        <v>2</v>
      </c>
      <c r="C14" s="656">
        <v>200</v>
      </c>
      <c r="D14" s="656">
        <v>150</v>
      </c>
      <c r="E14" s="656">
        <v>20</v>
      </c>
      <c r="F14" s="657">
        <f>IF('汚水ます深さ決定資料(水路等支障物件）'!P9="","",'汚水ます深さ決定資料(水路等支障物件）'!P9)</f>
        <v>0.96</v>
      </c>
      <c r="G14" s="658">
        <v>2.71</v>
      </c>
      <c r="H14" s="659">
        <v>18.4</v>
      </c>
      <c r="I14" s="656"/>
      <c r="J14" s="660" t="s">
        <v>215</v>
      </c>
      <c r="K14" s="660" t="s">
        <v>212</v>
      </c>
      <c r="L14" s="660" t="s">
        <v>214</v>
      </c>
      <c r="M14" s="661">
        <f>IF('汚水ます深さ決定資料(水路等支障物件）'!Q9="","",'汚水ます深さ決定資料(水路等支障物件）'!Q9)</f>
      </c>
      <c r="N14" s="653"/>
    </row>
    <row r="15" spans="1:14" s="654" customFormat="1" ht="27.75" customHeight="1">
      <c r="A15" s="651"/>
      <c r="B15" s="655">
        <f>IF('汚水ます深さ決定資料 (宅内延長)'!A9="","",'汚水ます深さ決定資料 (宅内延長)'!A9)</f>
        <v>3</v>
      </c>
      <c r="C15" s="656">
        <v>200</v>
      </c>
      <c r="D15" s="656">
        <v>150</v>
      </c>
      <c r="E15" s="656">
        <v>20</v>
      </c>
      <c r="F15" s="657">
        <f>IF('汚水ます深さ決定資料(水路等支障物件）'!P10="","",'汚水ます深さ決定資料(水路等支障物件）'!P10)</f>
        <v>0.97</v>
      </c>
      <c r="G15" s="658">
        <v>2.51</v>
      </c>
      <c r="H15" s="659">
        <v>23.7</v>
      </c>
      <c r="I15" s="662"/>
      <c r="J15" s="663" t="s">
        <v>216</v>
      </c>
      <c r="K15" s="660" t="s">
        <v>212</v>
      </c>
      <c r="L15" s="660" t="s">
        <v>214</v>
      </c>
      <c r="M15" s="661">
        <f>IF('汚水ます深さ決定資料(水路等支障物件）'!Q10="","",'汚水ます深さ決定資料(水路等支障物件）'!Q10)</f>
      </c>
      <c r="N15" s="653"/>
    </row>
    <row r="16" spans="1:14" s="654" customFormat="1" ht="27.75" customHeight="1">
      <c r="A16" s="651"/>
      <c r="B16" s="655">
        <f>IF('汚水ます深さ決定資料 (宅内延長)'!A10="","",'汚水ます深さ決定資料 (宅内延長)'!A10)</f>
        <v>4</v>
      </c>
      <c r="C16" s="656">
        <v>200</v>
      </c>
      <c r="D16" s="656">
        <v>150</v>
      </c>
      <c r="E16" s="656">
        <v>20</v>
      </c>
      <c r="F16" s="657">
        <f>IF('汚水ます深さ決定資料(水路等支障物件）'!P11="","",'汚水ます深さ決定資料(水路等支障物件）'!P11)</f>
        <v>1.18</v>
      </c>
      <c r="G16" s="658">
        <v>3.17</v>
      </c>
      <c r="H16" s="659">
        <v>9.03</v>
      </c>
      <c r="I16" s="662"/>
      <c r="J16" s="663" t="s">
        <v>217</v>
      </c>
      <c r="K16" s="660" t="s">
        <v>212</v>
      </c>
      <c r="L16" s="660" t="s">
        <v>214</v>
      </c>
      <c r="M16" s="661" t="str">
        <f>IF('汚水ます深さ決定資料(水路等支障物件）'!Q11="","",'汚水ます深さ決定資料(水路等支障物件）'!Q11)</f>
        <v>鉄蓋（T-８）</v>
      </c>
      <c r="N16" s="653"/>
    </row>
    <row r="17" spans="1:14" s="654" customFormat="1" ht="27.75" customHeight="1">
      <c r="A17" s="651"/>
      <c r="B17" s="655">
        <f>IF('汚水ます深さ決定資料 (宅内延長)'!A11="","",'汚水ます深さ決定資料 (宅内延長)'!A11)</f>
        <v>5</v>
      </c>
      <c r="C17" s="656">
        <v>200</v>
      </c>
      <c r="D17" s="656">
        <v>150</v>
      </c>
      <c r="E17" s="656">
        <v>20</v>
      </c>
      <c r="F17" s="657">
        <f>IF('汚水ます深さ決定資料(水路等支障物件）'!P12="","",'汚水ます深さ決定資料(水路等支障物件）'!P12)</f>
        <v>0.9</v>
      </c>
      <c r="G17" s="664">
        <v>4.08</v>
      </c>
      <c r="H17" s="659">
        <v>60.5</v>
      </c>
      <c r="I17" s="662"/>
      <c r="J17" s="663" t="s">
        <v>218</v>
      </c>
      <c r="K17" s="660" t="s">
        <v>212</v>
      </c>
      <c r="L17" s="660" t="s">
        <v>214</v>
      </c>
      <c r="M17" s="661" t="str">
        <f>IF('汚水ます深さ決定資料(水路等支障物件）'!Q12="","",'汚水ます深さ決定資料(水路等支障物件）'!Q12)</f>
        <v>ドロップ桝</v>
      </c>
      <c r="N17" s="653"/>
    </row>
    <row r="18" spans="1:14" s="654" customFormat="1" ht="27.75" customHeight="1">
      <c r="A18" s="651"/>
      <c r="B18" s="655">
        <f>IF('汚水ます深さ決定資料 (宅内延長)'!A12="","",'汚水ます深さ決定資料 (宅内延長)'!A12)</f>
        <v>6</v>
      </c>
      <c r="C18" s="656">
        <v>200</v>
      </c>
      <c r="D18" s="656">
        <v>150</v>
      </c>
      <c r="E18" s="656">
        <v>20</v>
      </c>
      <c r="F18" s="657">
        <f>IF('汚水ます深さ決定資料(水路等支障物件）'!P13="","",'汚水ます深さ決定資料(水路等支障物件）'!P13)</f>
        <v>1.35</v>
      </c>
      <c r="G18" s="664">
        <v>3.56</v>
      </c>
      <c r="H18" s="659">
        <v>44.7</v>
      </c>
      <c r="I18" s="662"/>
      <c r="J18" s="663" t="s">
        <v>207</v>
      </c>
      <c r="K18" s="660" t="s">
        <v>206</v>
      </c>
      <c r="L18" s="660" t="s">
        <v>213</v>
      </c>
      <c r="M18" s="661">
        <f>IF('汚水ます深さ決定資料(水路等支障物件）'!Q13="","",'汚水ます深さ決定資料(水路等支障物件）'!Q13)</f>
      </c>
      <c r="N18" s="653"/>
    </row>
    <row r="19" spans="1:14" s="654" customFormat="1" ht="27.75" customHeight="1">
      <c r="A19" s="651"/>
      <c r="B19" s="655">
        <f>IF('汚水ます深さ決定資料 (宅内延長)'!A13="","",'汚水ます深さ決定資料 (宅内延長)'!A13)</f>
        <v>7</v>
      </c>
      <c r="C19" s="656">
        <v>200</v>
      </c>
      <c r="D19" s="656">
        <v>150</v>
      </c>
      <c r="E19" s="656">
        <v>20</v>
      </c>
      <c r="F19" s="657">
        <f>IF('汚水ます深さ決定資料(水路等支障物件）'!P14="","",'汚水ます深さ決定資料(水路等支障物件）'!P14)</f>
        <v>1.55</v>
      </c>
      <c r="G19" s="664">
        <v>4.74</v>
      </c>
      <c r="H19" s="659">
        <v>43.3</v>
      </c>
      <c r="I19" s="662"/>
      <c r="J19" s="663" t="s">
        <v>208</v>
      </c>
      <c r="K19" s="660" t="s">
        <v>206</v>
      </c>
      <c r="L19" s="660" t="s">
        <v>213</v>
      </c>
      <c r="M19" s="661">
        <f>IF('汚水ます深さ決定資料(水路等支障物件）'!Q14="","",'汚水ます深さ決定資料(水路等支障物件）'!Q14)</f>
      </c>
      <c r="N19" s="653"/>
    </row>
    <row r="20" spans="1:14" s="654" customFormat="1" ht="27.75" customHeight="1">
      <c r="A20" s="651"/>
      <c r="B20" s="655">
        <f>IF('汚水ます深さ決定資料 (宅内延長)'!A14="","",'汚水ます深さ決定資料 (宅内延長)'!A14)</f>
        <v>8</v>
      </c>
      <c r="C20" s="656">
        <v>200</v>
      </c>
      <c r="D20" s="656">
        <v>150</v>
      </c>
      <c r="E20" s="656">
        <v>20</v>
      </c>
      <c r="F20" s="657">
        <f>IF('汚水ます深さ決定資料(水路等支障物件）'!P15="","",'汚水ます深さ決定資料(水路等支障物件）'!P15)</f>
        <v>1.3</v>
      </c>
      <c r="G20" s="664">
        <v>3.6</v>
      </c>
      <c r="H20" s="659">
        <v>42.1</v>
      </c>
      <c r="I20" s="662"/>
      <c r="J20" s="663" t="s">
        <v>209</v>
      </c>
      <c r="K20" s="660" t="s">
        <v>206</v>
      </c>
      <c r="L20" s="660" t="s">
        <v>213</v>
      </c>
      <c r="M20" s="661">
        <f>IF('汚水ます深さ決定資料(水路等支障物件）'!Q15="","",'汚水ます深さ決定資料(水路等支障物件）'!Q15)</f>
      </c>
      <c r="N20" s="653"/>
    </row>
    <row r="21" spans="1:14" s="654" customFormat="1" ht="27.75" customHeight="1">
      <c r="A21" s="651"/>
      <c r="B21" s="655">
        <f>IF('汚水ます深さ決定資料 (宅内延長)'!A15="","",'汚水ます深さ決定資料 (宅内延長)'!A15)</f>
        <v>9</v>
      </c>
      <c r="C21" s="656">
        <v>200</v>
      </c>
      <c r="D21" s="656">
        <v>150</v>
      </c>
      <c r="E21" s="656"/>
      <c r="F21" s="657">
        <f>IF('汚水ます深さ決定資料(水路等支障物件）'!P16="","",'汚水ます深さ決定資料(水路等支障物件）'!P16)</f>
        <v>1.55</v>
      </c>
      <c r="G21" s="664">
        <v>3.76</v>
      </c>
      <c r="H21" s="659">
        <v>32.9</v>
      </c>
      <c r="I21" s="662"/>
      <c r="J21" s="663" t="s">
        <v>219</v>
      </c>
      <c r="K21" s="660" t="s">
        <v>206</v>
      </c>
      <c r="L21" s="660" t="s">
        <v>213</v>
      </c>
      <c r="M21" s="661" t="str">
        <f>IF('汚水ます深さ決定資料(水路等支障物件）'!Q16="","",'汚水ます深さ決定資料(水路等支障物件）'!Q16)</f>
        <v>キャップ止</v>
      </c>
      <c r="N21" s="653"/>
    </row>
    <row r="22" spans="1:14" s="654" customFormat="1" ht="27.75" customHeight="1">
      <c r="A22" s="651"/>
      <c r="B22" s="655">
        <f>IF('汚水ます深さ決定資料 (宅内延長)'!A16="","",'汚水ます深さ決定資料 (宅内延長)'!A16)</f>
        <v>10</v>
      </c>
      <c r="C22" s="656">
        <v>200</v>
      </c>
      <c r="D22" s="656">
        <v>150</v>
      </c>
      <c r="E22" s="656">
        <v>20</v>
      </c>
      <c r="F22" s="657">
        <f>IF('汚水ます深さ決定資料(水路等支障物件）'!P17="","",'汚水ます深さ決定資料(水路等支障物件）'!P17)</f>
        <v>1.2</v>
      </c>
      <c r="G22" s="664">
        <v>4.42</v>
      </c>
      <c r="H22" s="659">
        <v>18.8</v>
      </c>
      <c r="I22" s="662"/>
      <c r="J22" s="663" t="s">
        <v>210</v>
      </c>
      <c r="K22" s="660" t="s">
        <v>206</v>
      </c>
      <c r="L22" s="660" t="s">
        <v>213</v>
      </c>
      <c r="M22" s="661">
        <f>IF('汚水ます深さ決定資料(水路等支障物件）'!Q17="","",'汚水ます深さ決定資料(水路等支障物件）'!Q17)</f>
      </c>
      <c r="N22" s="653"/>
    </row>
    <row r="23" spans="1:14" ht="12" customHeight="1" thickBot="1">
      <c r="A23" s="665"/>
      <c r="B23" s="666"/>
      <c r="C23" s="667"/>
      <c r="D23" s="667"/>
      <c r="E23" s="667"/>
      <c r="F23" s="668"/>
      <c r="G23" s="668"/>
      <c r="H23" s="668"/>
      <c r="I23" s="668"/>
      <c r="J23" s="668"/>
      <c r="K23" s="668"/>
      <c r="L23" s="668"/>
      <c r="M23" s="667"/>
      <c r="N23" s="669"/>
    </row>
    <row r="24" ht="20.25" customHeight="1"/>
    <row r="25" ht="20.25" customHeight="1">
      <c r="E25" s="672"/>
    </row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</sheetData>
  <sheetProtection sheet="1"/>
  <mergeCells count="6">
    <mergeCell ref="B1:C1"/>
    <mergeCell ref="E1:J2"/>
    <mergeCell ref="K2:M2"/>
    <mergeCell ref="B11:C11"/>
    <mergeCell ref="D11:G11"/>
    <mergeCell ref="I11:M11"/>
  </mergeCells>
  <dataValidations count="2">
    <dataValidation type="list" allowBlank="1" showInputMessage="1" showErrorMessage="1" sqref="E13:E22">
      <formula1>$Q$13:$T$13</formula1>
    </dataValidation>
    <dataValidation type="list" allowBlank="1" showInputMessage="1" showErrorMessage="1" sqref="D13:D22">
      <formula1>"100,125,150,200"</formula1>
    </dataValidation>
  </dataValidations>
  <printOptions horizontalCentered="1" verticalCentered="1"/>
  <pageMargins left="0.5905511811023623" right="0.1968503937007874" top="0.1968503937007874" bottom="0.1968503937007874" header="0.5118110236220472" footer="0.5118110236220472"/>
  <pageSetup blackAndWhite="1" horizontalDpi="600" verticalDpi="600" orientation="portrait" paperSize="9" scale="12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79"/>
  <sheetViews>
    <sheetView showGridLines="0" view="pageBreakPreview" zoomScaleNormal="85" zoomScaleSheetLayoutView="100" zoomScalePageLayoutView="0" workbookViewId="0" topLeftCell="A1">
      <selection activeCell="B1" sqref="B1"/>
    </sheetView>
  </sheetViews>
  <sheetFormatPr defaultColWidth="5.625" defaultRowHeight="12.75" customHeight="1" outlineLevelCol="1"/>
  <cols>
    <col min="1" max="1" width="1.625" style="166" customWidth="1"/>
    <col min="2" max="2" width="4.375" style="2" customWidth="1"/>
    <col min="3" max="3" width="2.625" style="2" customWidth="1"/>
    <col min="4" max="4" width="5.125" style="2" customWidth="1"/>
    <col min="5" max="5" width="5.875" style="2" customWidth="1"/>
    <col min="6" max="6" width="5.75390625" style="2" customWidth="1"/>
    <col min="7" max="7" width="4.625" style="2" hidden="1" customWidth="1" outlineLevel="1"/>
    <col min="8" max="8" width="6.75390625" style="2" customWidth="1" collapsed="1"/>
    <col min="9" max="9" width="4.75390625" style="2" customWidth="1"/>
    <col min="10" max="10" width="6.625" style="2" customWidth="1"/>
    <col min="11" max="11" width="5.625" style="2" customWidth="1"/>
    <col min="12" max="12" width="4.625" style="2" customWidth="1"/>
    <col min="13" max="13" width="6.625" style="2" customWidth="1"/>
    <col min="14" max="14" width="5.625" style="2" customWidth="1"/>
    <col min="15" max="15" width="6.75390625" style="2" customWidth="1"/>
    <col min="16" max="16" width="4.625" style="2" hidden="1" customWidth="1" outlineLevel="1"/>
    <col min="17" max="17" width="5.875" style="2" customWidth="1" collapsed="1"/>
    <col min="18" max="19" width="5.625" style="2" customWidth="1"/>
    <col min="20" max="20" width="5.25390625" style="2" customWidth="1"/>
    <col min="21" max="24" width="5.625" style="2" customWidth="1"/>
    <col min="25" max="25" width="11.875" style="2" customWidth="1"/>
    <col min="26" max="26" width="4.625" style="2" customWidth="1"/>
    <col min="27" max="27" width="5.125" style="2" customWidth="1"/>
    <col min="28" max="29" width="5.625" style="2" customWidth="1"/>
    <col min="30" max="30" width="7.375" style="2" customWidth="1"/>
    <col min="31" max="32" width="5.625" style="2" customWidth="1"/>
    <col min="33" max="33" width="5.375" style="2" hidden="1" customWidth="1" outlineLevel="1"/>
    <col min="34" max="34" width="7.125" style="2" hidden="1" customWidth="1" outlineLevel="1"/>
    <col min="35" max="35" width="5.125" style="2" hidden="1" customWidth="1" outlineLevel="1"/>
    <col min="36" max="36" width="3.25390625" style="2" hidden="1" customWidth="1" outlineLevel="1"/>
    <col min="37" max="37" width="3.00390625" style="2" hidden="1" customWidth="1" outlineLevel="1"/>
    <col min="38" max="38" width="6.375" style="2" customWidth="1" collapsed="1"/>
    <col min="39" max="39" width="5.375" style="2" customWidth="1"/>
    <col min="40" max="40" width="6.625" style="2" customWidth="1"/>
    <col min="41" max="41" width="5.875" style="2" customWidth="1"/>
    <col min="42" max="42" width="5.375" style="2" customWidth="1"/>
    <col min="43" max="43" width="5.625" style="2" customWidth="1"/>
    <col min="44" max="45" width="5.625" style="2" hidden="1" customWidth="1" outlineLevel="1"/>
    <col min="46" max="46" width="6.625" style="2" customWidth="1" collapsed="1"/>
    <col min="47" max="50" width="6.625" style="2" customWidth="1"/>
    <col min="51" max="51" width="9.25390625" style="2" customWidth="1"/>
    <col min="52" max="53" width="6.625" style="2" customWidth="1"/>
    <col min="54" max="54" width="3.25390625" style="2" customWidth="1"/>
    <col min="55" max="55" width="10.50390625" style="2" customWidth="1"/>
    <col min="56" max="56" width="0.37109375" style="2" customWidth="1" outlineLevel="1"/>
    <col min="57" max="57" width="4.375" style="2" customWidth="1" outlineLevel="1"/>
    <col min="58" max="58" width="2.625" style="2" customWidth="1" outlineLevel="1"/>
    <col min="59" max="59" width="4.50390625" style="2" customWidth="1" outlineLevel="1"/>
    <col min="60" max="60" width="5.875" style="2" customWidth="1" outlineLevel="1"/>
    <col min="61" max="61" width="7.75390625" style="2" customWidth="1" outlineLevel="1"/>
    <col min="62" max="62" width="6.625" style="2" customWidth="1" outlineLevel="1"/>
    <col min="63" max="64" width="5.625" style="2" customWidth="1" outlineLevel="1"/>
    <col min="65" max="65" width="8.875" style="2" customWidth="1" outlineLevel="1"/>
    <col min="66" max="66" width="11.875" style="2" customWidth="1" outlineLevel="1"/>
    <col min="67" max="67" width="7.00390625" style="2" customWidth="1" outlineLevel="1"/>
    <col min="68" max="68" width="6.50390625" style="2" customWidth="1" outlineLevel="1"/>
    <col min="69" max="69" width="6.875" style="2" customWidth="1" outlineLevel="1"/>
    <col min="70" max="70" width="5.625" style="2" customWidth="1" outlineLevel="1"/>
    <col min="71" max="72" width="7.00390625" style="2" customWidth="1" outlineLevel="1"/>
    <col min="73" max="73" width="8.625" style="2" customWidth="1" outlineLevel="1"/>
    <col min="74" max="74" width="8.875" style="2" customWidth="1" outlineLevel="1"/>
    <col min="75" max="75" width="8.625" style="2" customWidth="1" outlineLevel="1"/>
    <col min="76" max="76" width="12.125" style="2" customWidth="1" outlineLevel="1"/>
    <col min="77" max="77" width="9.375" style="2" customWidth="1" outlineLevel="1"/>
    <col min="78" max="79" width="9.875" style="2" customWidth="1" outlineLevel="1"/>
    <col min="80" max="85" width="8.625" style="2" customWidth="1" outlineLevel="1"/>
    <col min="86" max="86" width="4.25390625" style="2" customWidth="1" outlineLevel="1"/>
    <col min="87" max="87" width="3.50390625" style="2" customWidth="1" outlineLevel="1"/>
    <col min="88" max="88" width="2.75390625" style="166" customWidth="1"/>
    <col min="89" max="89" width="7.875" style="166" customWidth="1"/>
    <col min="90" max="90" width="3.75390625" style="166" customWidth="1"/>
    <col min="91" max="95" width="6.625" style="2" customWidth="1"/>
    <col min="96" max="101" width="5.625" style="2" customWidth="1"/>
    <col min="102" max="102" width="6.125" style="2" customWidth="1"/>
    <col min="103" max="103" width="5.625" style="2" customWidth="1"/>
    <col min="104" max="104" width="6.25390625" style="2" customWidth="1"/>
    <col min="105" max="105" width="8.00390625" style="2" customWidth="1"/>
    <col min="106" max="107" width="5.625" style="2" customWidth="1"/>
    <col min="108" max="108" width="6.00390625" style="2" customWidth="1"/>
    <col min="109" max="109" width="5.625" style="2" customWidth="1"/>
    <col min="110" max="110" width="7.00390625" style="2" bestFit="1" customWidth="1"/>
    <col min="111" max="113" width="5.625" style="2" customWidth="1"/>
    <col min="114" max="114" width="2.125" style="2" customWidth="1"/>
    <col min="115" max="116" width="5.625" style="2" customWidth="1"/>
    <col min="117" max="117" width="7.125" style="2" customWidth="1"/>
    <col min="118" max="118" width="5.625" style="2" customWidth="1"/>
    <col min="119" max="119" width="5.75390625" style="2" customWidth="1"/>
    <col min="120" max="121" width="5.625" style="2" customWidth="1"/>
    <col min="122" max="148" width="5.625" style="165" customWidth="1"/>
    <col min="149" max="16384" width="5.625" style="2" customWidth="1"/>
  </cols>
  <sheetData>
    <row r="1" spans="1:90" ht="12.75" customHeight="1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</row>
    <row r="2" spans="2:87" ht="24.75" customHeight="1">
      <c r="B2" s="607" t="s">
        <v>110</v>
      </c>
      <c r="C2" s="161"/>
      <c r="D2" s="161"/>
      <c r="E2" s="161"/>
      <c r="F2" s="383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7"/>
      <c r="BE2" s="161" t="s">
        <v>134</v>
      </c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7"/>
    </row>
    <row r="3" ht="4.5" customHeight="1" thickBot="1"/>
    <row r="4" spans="1:87" ht="12.75" customHeight="1">
      <c r="A4" s="168"/>
      <c r="B4" s="169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417"/>
      <c r="T4" s="170"/>
      <c r="U4" s="170"/>
      <c r="V4" s="170"/>
      <c r="W4" s="417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417"/>
      <c r="BA4" s="417"/>
      <c r="BB4" s="170"/>
      <c r="BC4" s="171"/>
      <c r="BE4" s="169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1"/>
    </row>
    <row r="5" spans="1:87" ht="12.75" customHeight="1" thickBot="1">
      <c r="A5" s="168"/>
      <c r="B5" s="160" t="s">
        <v>107</v>
      </c>
      <c r="C5" s="1"/>
      <c r="D5" s="1"/>
      <c r="E5" s="1"/>
      <c r="F5" s="1"/>
      <c r="G5" s="1"/>
      <c r="H5" s="1"/>
      <c r="I5" s="108"/>
      <c r="J5" s="108"/>
      <c r="K5" s="110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 t="s">
        <v>86</v>
      </c>
      <c r="AP5" s="111"/>
      <c r="AQ5" s="112" t="s">
        <v>92</v>
      </c>
      <c r="AR5" s="111"/>
      <c r="AS5" s="111"/>
      <c r="AU5" s="2" t="s">
        <v>168</v>
      </c>
      <c r="BB5" s="111"/>
      <c r="BC5" s="113"/>
      <c r="BE5" s="81"/>
      <c r="BI5" s="1"/>
      <c r="BJ5" s="172"/>
      <c r="BN5" s="1"/>
      <c r="BQ5" s="1"/>
      <c r="BR5" s="1"/>
      <c r="BS5" s="1"/>
      <c r="BT5" s="1"/>
      <c r="BU5" s="1"/>
      <c r="BV5" s="1"/>
      <c r="BW5" s="1"/>
      <c r="BX5" s="1"/>
      <c r="BY5" s="1"/>
      <c r="BZ5" s="1" t="s">
        <v>86</v>
      </c>
      <c r="CA5" s="1"/>
      <c r="CB5" s="82" t="s">
        <v>92</v>
      </c>
      <c r="CC5" s="1"/>
      <c r="CD5" s="1"/>
      <c r="CE5" s="1"/>
      <c r="CF5" s="1"/>
      <c r="CG5" s="1"/>
      <c r="CH5" s="1"/>
      <c r="CI5" s="83"/>
    </row>
    <row r="6" spans="1:87" ht="12.75" customHeight="1">
      <c r="A6" s="168"/>
      <c r="B6" s="107" t="s">
        <v>108</v>
      </c>
      <c r="C6" s="108"/>
      <c r="D6" s="108"/>
      <c r="E6" s="108"/>
      <c r="F6" s="109">
        <v>0.1</v>
      </c>
      <c r="G6" s="108"/>
      <c r="H6" s="108" t="s">
        <v>9</v>
      </c>
      <c r="I6" s="108"/>
      <c r="J6" s="108"/>
      <c r="K6" s="108"/>
      <c r="L6" s="108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5" t="s">
        <v>65</v>
      </c>
      <c r="AP6" s="116" t="s">
        <v>23</v>
      </c>
      <c r="AQ6" s="117" t="s">
        <v>24</v>
      </c>
      <c r="AR6" s="111"/>
      <c r="AS6" s="111"/>
      <c r="AU6" s="422"/>
      <c r="AV6" s="423"/>
      <c r="AW6" s="424"/>
      <c r="AX6" s="425"/>
      <c r="AZ6" s="1"/>
      <c r="BA6" s="1"/>
      <c r="BC6" s="83"/>
      <c r="BE6" s="84"/>
      <c r="BI6" s="1"/>
      <c r="BJ6" s="172"/>
      <c r="BN6" s="1"/>
      <c r="BQ6" s="1"/>
      <c r="BR6" s="1"/>
      <c r="BS6" s="1"/>
      <c r="BT6" s="1"/>
      <c r="BU6" s="1"/>
      <c r="BV6" s="1"/>
      <c r="BW6" s="1"/>
      <c r="BX6" s="1"/>
      <c r="BY6" s="1"/>
      <c r="BZ6" s="85" t="s">
        <v>65</v>
      </c>
      <c r="CA6" s="86" t="s">
        <v>23</v>
      </c>
      <c r="CB6" s="87" t="s">
        <v>24</v>
      </c>
      <c r="CC6" s="1"/>
      <c r="CD6" s="1"/>
      <c r="CE6" s="1"/>
      <c r="CF6" s="1"/>
      <c r="CG6" s="1"/>
      <c r="CH6" s="1"/>
      <c r="CI6" s="83"/>
    </row>
    <row r="7" spans="1:87" ht="12.75" customHeight="1">
      <c r="A7" s="168"/>
      <c r="B7" s="107" t="s">
        <v>153</v>
      </c>
      <c r="C7" s="108"/>
      <c r="D7" s="108"/>
      <c r="E7" s="111"/>
      <c r="F7" s="108"/>
      <c r="G7" s="111"/>
      <c r="H7" s="111"/>
      <c r="I7" s="111"/>
      <c r="J7" s="108"/>
      <c r="K7" s="108"/>
      <c r="L7" s="108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N7" s="111"/>
      <c r="AO7" s="118" t="s">
        <v>66</v>
      </c>
      <c r="AP7" s="119">
        <v>107</v>
      </c>
      <c r="AQ7" s="120">
        <v>3.5</v>
      </c>
      <c r="AR7" s="111"/>
      <c r="AS7" s="111"/>
      <c r="AU7" s="420" t="s">
        <v>169</v>
      </c>
      <c r="AV7" s="426"/>
      <c r="AW7" s="174" t="s">
        <v>38</v>
      </c>
      <c r="AX7" s="429">
        <v>0.6</v>
      </c>
      <c r="AZ7" s="596"/>
      <c r="BA7" s="596"/>
      <c r="BB7" s="597"/>
      <c r="BC7" s="83"/>
      <c r="BE7" s="81"/>
      <c r="BH7" s="1"/>
      <c r="BI7" s="1"/>
      <c r="BJ7" s="172"/>
      <c r="BN7" s="1"/>
      <c r="BQ7" s="1"/>
      <c r="BR7" s="1"/>
      <c r="BS7" s="1"/>
      <c r="BT7" s="1"/>
      <c r="BU7" s="1"/>
      <c r="BV7" s="1"/>
      <c r="BW7" s="1"/>
      <c r="BX7" s="1"/>
      <c r="BY7" s="1"/>
      <c r="BZ7" s="88" t="s">
        <v>66</v>
      </c>
      <c r="CA7" s="89">
        <v>107</v>
      </c>
      <c r="CB7" s="90">
        <v>3.5</v>
      </c>
      <c r="CC7" s="1"/>
      <c r="CD7" s="1"/>
      <c r="CE7" s="1"/>
      <c r="CF7" s="1"/>
      <c r="CG7" s="1"/>
      <c r="CH7" s="1"/>
      <c r="CI7" s="83"/>
    </row>
    <row r="8" spans="1:87" ht="12.75" customHeight="1">
      <c r="A8" s="168"/>
      <c r="B8" s="114"/>
      <c r="D8" s="111" t="s">
        <v>145</v>
      </c>
      <c r="E8" s="111"/>
      <c r="F8" s="111"/>
      <c r="G8" s="108"/>
      <c r="H8" s="108"/>
      <c r="I8" s="121">
        <v>0.2</v>
      </c>
      <c r="J8" s="111" t="s">
        <v>9</v>
      </c>
      <c r="K8" s="108"/>
      <c r="L8" s="108"/>
      <c r="M8" s="110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N8" s="111"/>
      <c r="AO8" s="118" t="s">
        <v>67</v>
      </c>
      <c r="AP8" s="119">
        <v>154</v>
      </c>
      <c r="AQ8" s="120">
        <v>5.5</v>
      </c>
      <c r="AR8" s="111"/>
      <c r="AS8" s="111"/>
      <c r="AU8" s="420" t="s">
        <v>170</v>
      </c>
      <c r="AV8" s="426"/>
      <c r="AW8" s="174" t="s">
        <v>35</v>
      </c>
      <c r="AX8" s="429">
        <v>0.3</v>
      </c>
      <c r="AZ8" s="596"/>
      <c r="BA8" s="596"/>
      <c r="BB8" s="597"/>
      <c r="BC8" s="83"/>
      <c r="BE8" s="84"/>
      <c r="BF8" s="1"/>
      <c r="BG8" s="1"/>
      <c r="BH8" s="1"/>
      <c r="BI8" s="1"/>
      <c r="BJ8" s="172"/>
      <c r="BN8" s="1"/>
      <c r="BQ8" s="1"/>
      <c r="BR8" s="1"/>
      <c r="BS8" s="1"/>
      <c r="BT8" s="1"/>
      <c r="BU8" s="1"/>
      <c r="BV8" s="1"/>
      <c r="BW8" s="1"/>
      <c r="BX8" s="1"/>
      <c r="BY8" s="1"/>
      <c r="BZ8" s="88" t="s">
        <v>67</v>
      </c>
      <c r="CA8" s="89">
        <v>154</v>
      </c>
      <c r="CB8" s="90">
        <v>5.5</v>
      </c>
      <c r="CC8" s="1"/>
      <c r="CD8" s="1"/>
      <c r="CE8" s="1"/>
      <c r="CF8" s="1"/>
      <c r="CG8" s="1"/>
      <c r="CH8" s="1"/>
      <c r="CI8" s="83"/>
    </row>
    <row r="9" spans="1:87" ht="12.75" customHeight="1" thickBot="1">
      <c r="A9" s="168"/>
      <c r="B9" s="114"/>
      <c r="D9" s="111" t="s">
        <v>146</v>
      </c>
      <c r="E9" s="111"/>
      <c r="F9" s="111"/>
      <c r="G9" s="111"/>
      <c r="H9" s="108"/>
      <c r="I9" s="121">
        <v>0.7</v>
      </c>
      <c r="J9" s="111" t="s">
        <v>9</v>
      </c>
      <c r="K9" s="111"/>
      <c r="L9" s="111"/>
      <c r="M9" s="110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11"/>
      <c r="AN9" s="111"/>
      <c r="AO9" s="118" t="s">
        <v>68</v>
      </c>
      <c r="AP9" s="119">
        <v>202</v>
      </c>
      <c r="AQ9" s="120">
        <v>7</v>
      </c>
      <c r="AR9" s="111"/>
      <c r="AS9" s="111"/>
      <c r="AU9" s="420" t="s">
        <v>171</v>
      </c>
      <c r="AV9" s="426"/>
      <c r="AW9" s="174" t="s">
        <v>41</v>
      </c>
      <c r="AX9" s="429">
        <v>0.1</v>
      </c>
      <c r="AZ9" s="596"/>
      <c r="BA9" s="596"/>
      <c r="BB9" s="597"/>
      <c r="BC9" s="83"/>
      <c r="BE9" s="84"/>
      <c r="BF9" s="1"/>
      <c r="BG9" s="1"/>
      <c r="BH9" s="1"/>
      <c r="BI9" s="1"/>
      <c r="BJ9" s="172"/>
      <c r="BN9" s="1"/>
      <c r="BQ9" s="1"/>
      <c r="BR9" s="1"/>
      <c r="BS9" s="1"/>
      <c r="BT9" s="1"/>
      <c r="BU9" s="1"/>
      <c r="BV9" s="1"/>
      <c r="BW9" s="1"/>
      <c r="BX9" s="1"/>
      <c r="BY9" s="1"/>
      <c r="BZ9" s="88" t="s">
        <v>68</v>
      </c>
      <c r="CA9" s="89">
        <v>202</v>
      </c>
      <c r="CB9" s="90">
        <v>7</v>
      </c>
      <c r="CC9" s="1"/>
      <c r="CD9" s="1"/>
      <c r="CE9" s="1"/>
      <c r="CF9" s="1"/>
      <c r="CG9" s="1"/>
      <c r="CH9" s="1"/>
      <c r="CI9" s="83"/>
    </row>
    <row r="10" spans="1:98" ht="12.75" customHeight="1" thickBot="1">
      <c r="A10" s="168"/>
      <c r="B10" s="114"/>
      <c r="D10" s="111" t="s">
        <v>147</v>
      </c>
      <c r="E10" s="111"/>
      <c r="F10" s="111"/>
      <c r="G10" s="111"/>
      <c r="H10" s="108"/>
      <c r="I10" s="121">
        <v>0.4</v>
      </c>
      <c r="J10" s="111" t="s">
        <v>9</v>
      </c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11"/>
      <c r="AN10" s="111"/>
      <c r="AO10" s="118" t="s">
        <v>144</v>
      </c>
      <c r="AP10" s="119">
        <v>250</v>
      </c>
      <c r="AQ10" s="120">
        <v>8.5</v>
      </c>
      <c r="AR10" s="111"/>
      <c r="AS10" s="111"/>
      <c r="AU10" s="421" t="s">
        <v>172</v>
      </c>
      <c r="AV10" s="427"/>
      <c r="AW10" s="177" t="s">
        <v>42</v>
      </c>
      <c r="AX10" s="430">
        <v>0.1</v>
      </c>
      <c r="AZ10" s="596"/>
      <c r="BA10" s="596"/>
      <c r="BB10" s="597"/>
      <c r="BC10" s="83"/>
      <c r="BE10" s="84"/>
      <c r="BF10" s="1"/>
      <c r="BG10" s="1"/>
      <c r="BH10" s="1"/>
      <c r="BI10" s="1"/>
      <c r="BJ10" s="172"/>
      <c r="BN10" s="1"/>
      <c r="BQ10" s="1"/>
      <c r="BR10" s="1"/>
      <c r="BS10" s="1"/>
      <c r="BT10" s="1"/>
      <c r="BU10" s="1"/>
      <c r="BV10" s="1"/>
      <c r="BW10" s="1"/>
      <c r="BX10" s="1"/>
      <c r="BY10" s="1"/>
      <c r="BZ10" s="88" t="s">
        <v>89</v>
      </c>
      <c r="CA10" s="89">
        <v>194</v>
      </c>
      <c r="CB10" s="90">
        <v>11</v>
      </c>
      <c r="CC10" s="1"/>
      <c r="CD10" s="1"/>
      <c r="CE10" s="1"/>
      <c r="CF10" s="1"/>
      <c r="CG10" s="1"/>
      <c r="CH10" s="1"/>
      <c r="CI10" s="83"/>
      <c r="CT10" s="173" t="s">
        <v>6</v>
      </c>
    </row>
    <row r="11" spans="1:98" ht="12.75" customHeight="1" thickBot="1">
      <c r="A11" s="168"/>
      <c r="B11" s="107" t="s">
        <v>111</v>
      </c>
      <c r="C11" s="108"/>
      <c r="D11" s="108"/>
      <c r="E11" s="108"/>
      <c r="F11" s="111"/>
      <c r="G11" s="111"/>
      <c r="H11" s="108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11"/>
      <c r="AN11" s="111"/>
      <c r="AO11" s="118" t="s">
        <v>89</v>
      </c>
      <c r="AP11" s="119">
        <v>194</v>
      </c>
      <c r="AQ11" s="120">
        <v>11</v>
      </c>
      <c r="AR11" s="111"/>
      <c r="AS11" s="111"/>
      <c r="AZ11" s="597"/>
      <c r="BA11" s="597"/>
      <c r="BB11" s="597"/>
      <c r="BC11" s="83"/>
      <c r="BE11" s="84"/>
      <c r="BF11" s="1"/>
      <c r="BG11" s="1"/>
      <c r="BH11" s="1"/>
      <c r="BI11" s="1"/>
      <c r="BJ11" s="172"/>
      <c r="BQ11" s="1"/>
      <c r="BR11" s="1"/>
      <c r="BS11" s="1"/>
      <c r="BT11" s="1"/>
      <c r="BU11" s="1"/>
      <c r="BV11" s="1"/>
      <c r="BW11" s="1"/>
      <c r="BX11" s="1"/>
      <c r="BY11" s="1"/>
      <c r="BZ11" s="88"/>
      <c r="CA11" s="89"/>
      <c r="CB11" s="90"/>
      <c r="CC11" s="1"/>
      <c r="CD11" s="1"/>
      <c r="CE11" s="1"/>
      <c r="CF11" s="1"/>
      <c r="CG11" s="1"/>
      <c r="CH11" s="1"/>
      <c r="CI11" s="83"/>
      <c r="CT11" s="175" t="s">
        <v>62</v>
      </c>
    </row>
    <row r="12" spans="1:87" ht="12.75" customHeight="1">
      <c r="A12" s="168"/>
      <c r="B12" s="114"/>
      <c r="D12" s="111" t="s">
        <v>148</v>
      </c>
      <c r="E12" s="111"/>
      <c r="F12" s="111"/>
      <c r="G12" s="111"/>
      <c r="H12" s="108"/>
      <c r="I12" s="125">
        <v>2</v>
      </c>
      <c r="J12" s="111" t="s">
        <v>22</v>
      </c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11"/>
      <c r="AN12" s="111"/>
      <c r="AO12" s="122"/>
      <c r="AP12" s="123"/>
      <c r="AQ12" s="124"/>
      <c r="AR12" s="111"/>
      <c r="AS12" s="111"/>
      <c r="AU12" s="605" t="s">
        <v>180</v>
      </c>
      <c r="AV12" s="606"/>
      <c r="AW12" s="606"/>
      <c r="AX12" s="606"/>
      <c r="BC12" s="83"/>
      <c r="BE12" s="81"/>
      <c r="BI12" s="1"/>
      <c r="BJ12" s="172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91"/>
      <c r="CA12" s="92"/>
      <c r="CB12" s="93"/>
      <c r="CC12" s="1"/>
      <c r="CD12" s="1"/>
      <c r="CE12" s="1"/>
      <c r="CF12" s="1"/>
      <c r="CG12" s="1"/>
      <c r="CH12" s="1"/>
      <c r="CI12" s="83"/>
    </row>
    <row r="13" spans="1:98" ht="12.75" customHeight="1">
      <c r="A13" s="168"/>
      <c r="B13" s="114"/>
      <c r="D13" s="111" t="s">
        <v>146</v>
      </c>
      <c r="E13" s="111"/>
      <c r="F13" s="111"/>
      <c r="G13" s="111"/>
      <c r="H13" s="108"/>
      <c r="I13" s="125">
        <v>1</v>
      </c>
      <c r="J13" s="111" t="s">
        <v>22</v>
      </c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11"/>
      <c r="AN13" s="111"/>
      <c r="AR13" s="111"/>
      <c r="AS13" s="111"/>
      <c r="AU13" s="606"/>
      <c r="AV13" s="606"/>
      <c r="AW13" s="606"/>
      <c r="AX13" s="606"/>
      <c r="BC13" s="83"/>
      <c r="BE13" s="84"/>
      <c r="BF13" s="1"/>
      <c r="BG13" s="1"/>
      <c r="BH13" s="1"/>
      <c r="BI13" s="1"/>
      <c r="BJ13" s="172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83"/>
      <c r="CT13" s="176" t="s">
        <v>90</v>
      </c>
    </row>
    <row r="14" spans="1:98" ht="12.75" customHeight="1">
      <c r="A14" s="168"/>
      <c r="B14" s="114"/>
      <c r="D14" s="111" t="s">
        <v>147</v>
      </c>
      <c r="E14" s="111"/>
      <c r="F14" s="111"/>
      <c r="G14" s="111"/>
      <c r="H14" s="108"/>
      <c r="I14" s="125">
        <v>1.2</v>
      </c>
      <c r="J14" s="111" t="s">
        <v>22</v>
      </c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11"/>
      <c r="AN14" s="111"/>
      <c r="AR14" s="111"/>
      <c r="AS14" s="111"/>
      <c r="AT14" s="111"/>
      <c r="AV14" s="2" t="s">
        <v>93</v>
      </c>
      <c r="BC14" s="83"/>
      <c r="BE14" s="84"/>
      <c r="BF14" s="1"/>
      <c r="BG14" s="1"/>
      <c r="BH14" s="1"/>
      <c r="BI14" s="1"/>
      <c r="BJ14" s="172"/>
      <c r="BK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83"/>
      <c r="CT14" s="178" t="s">
        <v>91</v>
      </c>
    </row>
    <row r="15" spans="1:87" ht="12.75" customHeight="1" thickBot="1">
      <c r="A15" s="168"/>
      <c r="B15" s="84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11"/>
      <c r="AN15" s="111"/>
      <c r="AR15" s="111"/>
      <c r="AS15" s="111"/>
      <c r="AT15" s="111"/>
      <c r="AV15" s="2" t="s">
        <v>94</v>
      </c>
      <c r="BC15" s="83"/>
      <c r="BE15" s="84"/>
      <c r="BF15" s="1"/>
      <c r="BG15" s="1"/>
      <c r="BH15" s="1"/>
      <c r="BI15" s="1"/>
      <c r="BJ15" s="172"/>
      <c r="BK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83"/>
    </row>
    <row r="16" spans="1:98" ht="12.75" customHeight="1" thickBot="1">
      <c r="A16" s="168"/>
      <c r="B16" s="107" t="s">
        <v>112</v>
      </c>
      <c r="C16" s="108"/>
      <c r="D16" s="108"/>
      <c r="E16" s="108"/>
      <c r="F16" s="126">
        <v>0.05</v>
      </c>
      <c r="G16" s="111"/>
      <c r="H16" s="108" t="s">
        <v>120</v>
      </c>
      <c r="I16" s="111"/>
      <c r="J16" s="108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V16" s="428" t="s">
        <v>125</v>
      </c>
      <c r="AW16" s="431">
        <v>100</v>
      </c>
      <c r="AX16" s="179">
        <v>0.5</v>
      </c>
      <c r="AY16" s="2" t="s">
        <v>95</v>
      </c>
      <c r="BC16" s="83"/>
      <c r="BE16" s="84"/>
      <c r="BF16" s="1"/>
      <c r="BG16" s="1"/>
      <c r="BH16" s="1"/>
      <c r="BI16" s="1"/>
      <c r="BJ16" s="172"/>
      <c r="BK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83"/>
      <c r="CT16" s="173" t="s">
        <v>151</v>
      </c>
    </row>
    <row r="17" spans="1:98" ht="12.75" customHeight="1" thickBot="1">
      <c r="A17" s="168"/>
      <c r="B17" s="84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V17" s="428" t="s">
        <v>125</v>
      </c>
      <c r="AW17" s="431">
        <v>150</v>
      </c>
      <c r="AX17" s="179">
        <v>0.5</v>
      </c>
      <c r="AY17" s="2" t="s">
        <v>95</v>
      </c>
      <c r="BC17" s="113"/>
      <c r="BE17" s="81"/>
      <c r="BI17" s="1"/>
      <c r="BJ17" s="172"/>
      <c r="BK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83"/>
      <c r="CT17" s="175" t="s">
        <v>124</v>
      </c>
    </row>
    <row r="18" spans="1:87" ht="12.75" customHeight="1">
      <c r="A18" s="168"/>
      <c r="B18" s="107" t="s">
        <v>113</v>
      </c>
      <c r="C18" s="108"/>
      <c r="D18" s="108"/>
      <c r="E18" s="108"/>
      <c r="F18" s="126">
        <v>0.85</v>
      </c>
      <c r="G18" s="111"/>
      <c r="H18" s="108" t="s">
        <v>85</v>
      </c>
      <c r="I18" s="111"/>
      <c r="J18" s="108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Q18" s="111"/>
      <c r="AR18" s="111"/>
      <c r="AS18" s="111"/>
      <c r="AT18" s="111"/>
      <c r="BC18" s="113"/>
      <c r="BE18" s="84"/>
      <c r="BI18" s="1"/>
      <c r="BJ18" s="172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83"/>
    </row>
    <row r="19" spans="1:87" ht="12.75" customHeight="1">
      <c r="A19" s="168"/>
      <c r="B19" s="84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Q19" s="111"/>
      <c r="AR19" s="111"/>
      <c r="AS19" s="111"/>
      <c r="AT19" s="111"/>
      <c r="BC19" s="113"/>
      <c r="BE19" s="81"/>
      <c r="BI19" s="1"/>
      <c r="BJ19" s="172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83"/>
    </row>
    <row r="20" spans="1:87" ht="12.75" customHeight="1">
      <c r="A20" s="168"/>
      <c r="B20" s="107" t="s">
        <v>109</v>
      </c>
      <c r="C20" s="111"/>
      <c r="D20" s="111"/>
      <c r="E20" s="108"/>
      <c r="F20" s="127" t="s">
        <v>91</v>
      </c>
      <c r="G20" s="111"/>
      <c r="H20" s="108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BB20" s="111"/>
      <c r="BC20" s="113"/>
      <c r="BE20" s="84"/>
      <c r="BJ20" s="172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83"/>
    </row>
    <row r="21" spans="1:87" ht="12.75" customHeight="1" thickBot="1">
      <c r="A21" s="168"/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30"/>
      <c r="BE21" s="94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6"/>
    </row>
    <row r="22" spans="1:121" ht="13.5" customHeight="1" thickBot="1">
      <c r="A22" s="168"/>
      <c r="B22" s="131"/>
      <c r="C22" s="132"/>
      <c r="D22" s="133"/>
      <c r="E22" s="134"/>
      <c r="F22" s="135"/>
      <c r="G22" s="636"/>
      <c r="H22" s="618"/>
      <c r="I22" s="618"/>
      <c r="J22" s="618" t="s">
        <v>157</v>
      </c>
      <c r="K22" s="618"/>
      <c r="L22" s="79"/>
      <c r="M22" s="618"/>
      <c r="N22" s="913" t="s">
        <v>119</v>
      </c>
      <c r="O22" s="914"/>
      <c r="P22" s="914"/>
      <c r="Q22" s="915"/>
      <c r="R22" s="136" t="s">
        <v>123</v>
      </c>
      <c r="S22" s="137"/>
      <c r="T22" s="638"/>
      <c r="U22" s="638"/>
      <c r="V22" s="638"/>
      <c r="W22" s="638"/>
      <c r="X22" s="638"/>
      <c r="Y22" s="638"/>
      <c r="Z22" s="638"/>
      <c r="AA22" s="638"/>
      <c r="AB22" s="638"/>
      <c r="AC22" s="638"/>
      <c r="AD22" s="638"/>
      <c r="AE22" s="416"/>
      <c r="AF22" s="416"/>
      <c r="AG22" s="416"/>
      <c r="AH22" s="416"/>
      <c r="AI22" s="416"/>
      <c r="AJ22" s="416"/>
      <c r="AK22" s="416"/>
      <c r="AL22" s="638"/>
      <c r="AM22" s="639"/>
      <c r="AN22" s="136" t="s">
        <v>122</v>
      </c>
      <c r="AO22" s="137"/>
      <c r="AP22" s="137"/>
      <c r="AQ22" s="137"/>
      <c r="AR22" s="137"/>
      <c r="AS22" s="137"/>
      <c r="AT22" s="138"/>
      <c r="AU22" s="916" t="s">
        <v>121</v>
      </c>
      <c r="AV22" s="917"/>
      <c r="AW22" s="917"/>
      <c r="AX22" s="917"/>
      <c r="AY22" s="918"/>
      <c r="AZ22" s="919" t="s">
        <v>183</v>
      </c>
      <c r="BA22" s="919" t="s">
        <v>184</v>
      </c>
      <c r="BB22" s="636"/>
      <c r="BC22" s="637"/>
      <c r="BD22" s="11"/>
      <c r="BE22" s="97"/>
      <c r="BF22" s="98"/>
      <c r="BG22" s="99"/>
      <c r="BH22" s="100"/>
      <c r="BI22" s="101"/>
      <c r="BJ22" s="180" t="s">
        <v>114</v>
      </c>
      <c r="BK22" s="921" t="s">
        <v>17</v>
      </c>
      <c r="BL22" s="922"/>
      <c r="BM22" s="922"/>
      <c r="BN22" s="923"/>
      <c r="BO22" s="921" t="s">
        <v>20</v>
      </c>
      <c r="BP22" s="922"/>
      <c r="BQ22" s="922"/>
      <c r="BR22" s="922"/>
      <c r="BS22" s="923"/>
      <c r="BT22" s="635"/>
      <c r="BU22" s="635"/>
      <c r="BV22" s="635" t="s">
        <v>125</v>
      </c>
      <c r="BW22" s="635"/>
      <c r="BX22" s="635"/>
      <c r="BY22" s="635"/>
      <c r="BZ22" s="635"/>
      <c r="CA22" s="169"/>
      <c r="CB22" s="98"/>
      <c r="CC22" s="181"/>
      <c r="CD22" s="98" t="s">
        <v>131</v>
      </c>
      <c r="CE22" s="635"/>
      <c r="CF22" s="629"/>
      <c r="CG22" s="101"/>
      <c r="CH22" s="625"/>
      <c r="CI22" s="626"/>
      <c r="CL22" s="182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</row>
    <row r="23" spans="1:121" ht="13.5" customHeight="1" thickBot="1">
      <c r="A23" s="168"/>
      <c r="B23" s="906" t="s">
        <v>106</v>
      </c>
      <c r="C23" s="907"/>
      <c r="D23" s="894"/>
      <c r="E23" s="889" t="s">
        <v>87</v>
      </c>
      <c r="F23" s="890"/>
      <c r="G23" s="636"/>
      <c r="H23" s="895" t="s">
        <v>156</v>
      </c>
      <c r="I23" s="908"/>
      <c r="J23" s="908"/>
      <c r="K23" s="908"/>
      <c r="L23" s="908"/>
      <c r="M23" s="896"/>
      <c r="N23" s="909" t="s">
        <v>2</v>
      </c>
      <c r="O23" s="911" t="s">
        <v>55</v>
      </c>
      <c r="P23" s="911" t="s">
        <v>54</v>
      </c>
      <c r="Q23" s="911" t="s">
        <v>149</v>
      </c>
      <c r="R23" s="139" t="s">
        <v>25</v>
      </c>
      <c r="S23" s="566"/>
      <c r="T23" s="140"/>
      <c r="U23" s="141" t="s">
        <v>70</v>
      </c>
      <c r="V23" s="142"/>
      <c r="W23" s="142"/>
      <c r="X23" s="140"/>
      <c r="Y23" s="141" t="s">
        <v>12</v>
      </c>
      <c r="Z23" s="142"/>
      <c r="AA23" s="142"/>
      <c r="AB23" s="142"/>
      <c r="AC23" s="142"/>
      <c r="AD23" s="142"/>
      <c r="AE23" s="568"/>
      <c r="AF23" s="569"/>
      <c r="AG23" s="476" t="s">
        <v>178</v>
      </c>
      <c r="AH23" s="476"/>
      <c r="AI23" s="476"/>
      <c r="AJ23" s="476"/>
      <c r="AK23" s="476"/>
      <c r="AL23" s="142"/>
      <c r="AM23" s="143"/>
      <c r="AN23" s="622"/>
      <c r="AO23" s="80"/>
      <c r="AP23" s="80"/>
      <c r="AQ23" s="80"/>
      <c r="AR23" s="80"/>
      <c r="AS23" s="80"/>
      <c r="AT23" s="144"/>
      <c r="AU23" s="622"/>
      <c r="AV23" s="80"/>
      <c r="AW23" s="608"/>
      <c r="AX23" s="80"/>
      <c r="AY23" s="144"/>
      <c r="AZ23" s="920"/>
      <c r="BA23" s="920"/>
      <c r="BB23" s="636"/>
      <c r="BC23" s="637"/>
      <c r="BD23" s="11"/>
      <c r="BE23" s="903" t="s">
        <v>106</v>
      </c>
      <c r="BF23" s="904"/>
      <c r="BG23" s="905"/>
      <c r="BH23" s="925" t="s">
        <v>87</v>
      </c>
      <c r="BI23" s="926"/>
      <c r="BJ23" s="927" t="s">
        <v>2</v>
      </c>
      <c r="BK23" s="633"/>
      <c r="BL23" s="183"/>
      <c r="BM23" s="183"/>
      <c r="BN23" s="184"/>
      <c r="BO23" s="633"/>
      <c r="BP23" s="183"/>
      <c r="BQ23" s="183"/>
      <c r="BR23" s="183"/>
      <c r="BS23" s="184"/>
      <c r="BT23" s="633"/>
      <c r="BU23" s="184"/>
      <c r="BV23" s="633"/>
      <c r="BW23" s="185"/>
      <c r="BX23" s="183"/>
      <c r="BY23" s="186"/>
      <c r="BZ23" s="187"/>
      <c r="CA23" s="188" t="s">
        <v>3</v>
      </c>
      <c r="CB23" s="189"/>
      <c r="CC23" s="189"/>
      <c r="CD23" s="190" t="s">
        <v>138</v>
      </c>
      <c r="CE23" s="191"/>
      <c r="CF23" s="192"/>
      <c r="CG23" s="193"/>
      <c r="CH23" s="625"/>
      <c r="CI23" s="626"/>
      <c r="CL23" s="182"/>
      <c r="CM23" s="386" t="s">
        <v>158</v>
      </c>
      <c r="CN23" s="387"/>
      <c r="CO23" s="387"/>
      <c r="CP23" s="387"/>
      <c r="CQ23" s="388"/>
      <c r="CR23" s="197" t="s">
        <v>12</v>
      </c>
      <c r="CS23" s="198"/>
      <c r="CT23" s="198"/>
      <c r="CU23" s="198"/>
      <c r="CV23" s="198"/>
      <c r="CW23" s="198"/>
      <c r="CX23" s="198"/>
      <c r="CY23" s="198"/>
      <c r="CZ23" s="198"/>
      <c r="DA23" s="198"/>
      <c r="DB23" s="198"/>
      <c r="DC23" s="198"/>
      <c r="DD23" s="198"/>
      <c r="DE23" s="198"/>
      <c r="DF23" s="198"/>
      <c r="DG23" s="198"/>
      <c r="DH23" s="198"/>
      <c r="DI23" s="199"/>
      <c r="DJ23" s="11"/>
      <c r="DK23" s="11"/>
      <c r="DL23" s="11"/>
      <c r="DM23" s="11"/>
      <c r="DN23" s="11"/>
      <c r="DO23" s="11"/>
      <c r="DP23" s="11"/>
      <c r="DQ23" s="11"/>
    </row>
    <row r="24" spans="1:121" ht="13.5" customHeight="1">
      <c r="A24" s="168"/>
      <c r="B24" s="906" t="s">
        <v>176</v>
      </c>
      <c r="C24" s="907"/>
      <c r="D24" s="894"/>
      <c r="E24" s="889" t="s">
        <v>88</v>
      </c>
      <c r="F24" s="890"/>
      <c r="G24" s="636" t="s">
        <v>8</v>
      </c>
      <c r="H24" s="80" t="s">
        <v>2</v>
      </c>
      <c r="I24" s="80" t="s">
        <v>6</v>
      </c>
      <c r="J24" s="80" t="s">
        <v>16</v>
      </c>
      <c r="K24" s="80" t="s">
        <v>3</v>
      </c>
      <c r="L24" s="80" t="s">
        <v>5</v>
      </c>
      <c r="M24" s="144" t="s">
        <v>185</v>
      </c>
      <c r="N24" s="910"/>
      <c r="O24" s="912"/>
      <c r="P24" s="912"/>
      <c r="Q24" s="924"/>
      <c r="R24" s="623" t="s">
        <v>10</v>
      </c>
      <c r="S24" s="619" t="s">
        <v>177</v>
      </c>
      <c r="T24" s="624" t="s">
        <v>11</v>
      </c>
      <c r="U24" s="624" t="s">
        <v>70</v>
      </c>
      <c r="V24" s="624" t="s">
        <v>0</v>
      </c>
      <c r="W24" s="619" t="s">
        <v>177</v>
      </c>
      <c r="X24" s="624" t="s">
        <v>11</v>
      </c>
      <c r="Y24" s="624" t="s">
        <v>1</v>
      </c>
      <c r="Z24" s="889" t="s">
        <v>13</v>
      </c>
      <c r="AA24" s="894"/>
      <c r="AB24" s="624" t="s">
        <v>0</v>
      </c>
      <c r="AC24" s="624" t="s">
        <v>14</v>
      </c>
      <c r="AD24" s="145" t="s">
        <v>143</v>
      </c>
      <c r="AE24" s="571" t="s">
        <v>179</v>
      </c>
      <c r="AF24" s="571"/>
      <c r="AG24" s="478" t="s">
        <v>165</v>
      </c>
      <c r="AH24" s="479"/>
      <c r="AI24" s="478" t="s">
        <v>173</v>
      </c>
      <c r="AJ24" s="480"/>
      <c r="AK24" s="508"/>
      <c r="AL24" s="895" t="s">
        <v>11</v>
      </c>
      <c r="AM24" s="896"/>
      <c r="AN24" s="897" t="s">
        <v>189</v>
      </c>
      <c r="AO24" s="624" t="s">
        <v>69</v>
      </c>
      <c r="AP24" s="624" t="s">
        <v>5</v>
      </c>
      <c r="AQ24" s="624" t="s">
        <v>0</v>
      </c>
      <c r="AR24" s="624" t="s">
        <v>23</v>
      </c>
      <c r="AS24" s="624" t="s">
        <v>24</v>
      </c>
      <c r="AT24" s="146" t="s">
        <v>16</v>
      </c>
      <c r="AU24" s="623" t="s">
        <v>18</v>
      </c>
      <c r="AV24" s="624" t="s">
        <v>18</v>
      </c>
      <c r="AW24" s="899" t="s">
        <v>188</v>
      </c>
      <c r="AX24" s="624" t="s">
        <v>19</v>
      </c>
      <c r="AY24" s="146" t="s">
        <v>21</v>
      </c>
      <c r="AZ24" s="920"/>
      <c r="BA24" s="920"/>
      <c r="BB24" s="901" t="s">
        <v>53</v>
      </c>
      <c r="BC24" s="902"/>
      <c r="BD24" s="11"/>
      <c r="BE24" s="903"/>
      <c r="BF24" s="904"/>
      <c r="BG24" s="905"/>
      <c r="BH24" s="925" t="s">
        <v>88</v>
      </c>
      <c r="BI24" s="926"/>
      <c r="BJ24" s="928"/>
      <c r="BK24" s="634" t="s">
        <v>18</v>
      </c>
      <c r="BL24" s="200" t="s">
        <v>18</v>
      </c>
      <c r="BM24" s="200" t="s">
        <v>19</v>
      </c>
      <c r="BN24" s="201" t="s">
        <v>21</v>
      </c>
      <c r="BO24" s="634" t="s">
        <v>16</v>
      </c>
      <c r="BP24" s="200" t="s">
        <v>69</v>
      </c>
      <c r="BQ24" s="200" t="s">
        <v>0</v>
      </c>
      <c r="BR24" s="200" t="s">
        <v>5</v>
      </c>
      <c r="BS24" s="201" t="s">
        <v>16</v>
      </c>
      <c r="BT24" s="634" t="s">
        <v>102</v>
      </c>
      <c r="BU24" s="201" t="s">
        <v>136</v>
      </c>
      <c r="BV24" s="634" t="s">
        <v>100</v>
      </c>
      <c r="BW24" s="202" t="s">
        <v>98</v>
      </c>
      <c r="BX24" s="203" t="s">
        <v>101</v>
      </c>
      <c r="BY24" s="625" t="s">
        <v>115</v>
      </c>
      <c r="BZ24" s="204" t="s">
        <v>127</v>
      </c>
      <c r="CA24" s="205" t="s">
        <v>132</v>
      </c>
      <c r="CB24" s="206"/>
      <c r="CC24" s="192" t="s">
        <v>141</v>
      </c>
      <c r="CD24" s="207"/>
      <c r="CE24" s="191"/>
      <c r="CF24" s="192" t="s">
        <v>142</v>
      </c>
      <c r="CG24" s="193"/>
      <c r="CH24" s="885" t="s">
        <v>53</v>
      </c>
      <c r="CI24" s="886"/>
      <c r="CL24" s="182"/>
      <c r="CM24" s="194" t="s">
        <v>4</v>
      </c>
      <c r="CN24" s="195" t="s">
        <v>37</v>
      </c>
      <c r="CO24" s="195" t="s">
        <v>25</v>
      </c>
      <c r="CP24" s="195" t="s">
        <v>36</v>
      </c>
      <c r="CQ24" s="196" t="s">
        <v>39</v>
      </c>
      <c r="CR24" s="211"/>
      <c r="CS24" s="209"/>
      <c r="CT24" s="209"/>
      <c r="CU24" s="209"/>
      <c r="CV24" s="209"/>
      <c r="CW24" s="209"/>
      <c r="CX24" s="209"/>
      <c r="CY24" s="209"/>
      <c r="CZ24" s="209"/>
      <c r="DA24" s="209"/>
      <c r="DB24" s="209"/>
      <c r="DC24" s="209"/>
      <c r="DD24" s="209"/>
      <c r="DE24" s="209"/>
      <c r="DF24" s="209"/>
      <c r="DG24" s="209"/>
      <c r="DH24" s="209"/>
      <c r="DI24" s="212"/>
      <c r="DJ24" s="11"/>
      <c r="DK24" s="213" t="s">
        <v>44</v>
      </c>
      <c r="DL24" s="198"/>
      <c r="DM24" s="198"/>
      <c r="DN24" s="198"/>
      <c r="DO24" s="198"/>
      <c r="DP24" s="198"/>
      <c r="DQ24" s="199"/>
    </row>
    <row r="25" spans="1:121" ht="13.5" customHeight="1">
      <c r="A25" s="168"/>
      <c r="B25" s="617"/>
      <c r="C25" s="618"/>
      <c r="D25" s="619"/>
      <c r="E25" s="620"/>
      <c r="F25" s="621"/>
      <c r="G25" s="636"/>
      <c r="H25" s="624"/>
      <c r="I25" s="624"/>
      <c r="J25" s="624" t="s">
        <v>74</v>
      </c>
      <c r="K25" s="624" t="s">
        <v>30</v>
      </c>
      <c r="L25" s="624" t="s">
        <v>104</v>
      </c>
      <c r="M25" s="146" t="s">
        <v>105</v>
      </c>
      <c r="N25" s="910"/>
      <c r="O25" s="912"/>
      <c r="P25" s="912"/>
      <c r="Q25" s="924"/>
      <c r="R25" s="623"/>
      <c r="S25" s="619" t="s">
        <v>11</v>
      </c>
      <c r="T25" s="624"/>
      <c r="U25" s="624" t="s">
        <v>71</v>
      </c>
      <c r="V25" s="624"/>
      <c r="W25" s="619" t="s">
        <v>11</v>
      </c>
      <c r="X25" s="624"/>
      <c r="Y25" s="624"/>
      <c r="Z25" s="620"/>
      <c r="AA25" s="619"/>
      <c r="AB25" s="624"/>
      <c r="AC25" s="624"/>
      <c r="AD25" s="624"/>
      <c r="AE25" s="572" t="s">
        <v>117</v>
      </c>
      <c r="AF25" s="570" t="s">
        <v>118</v>
      </c>
      <c r="AG25" s="479" t="s">
        <v>163</v>
      </c>
      <c r="AH25" s="477" t="s">
        <v>11</v>
      </c>
      <c r="AI25" s="478" t="s">
        <v>166</v>
      </c>
      <c r="AJ25" s="481"/>
      <c r="AK25" s="509"/>
      <c r="AL25" s="147"/>
      <c r="AM25" s="621"/>
      <c r="AN25" s="898"/>
      <c r="AO25" s="624" t="s">
        <v>8</v>
      </c>
      <c r="AP25" s="624"/>
      <c r="AQ25" s="624"/>
      <c r="AR25" s="624"/>
      <c r="AS25" s="624"/>
      <c r="AT25" s="146"/>
      <c r="AU25" s="623" t="s">
        <v>186</v>
      </c>
      <c r="AV25" s="624" t="s">
        <v>187</v>
      </c>
      <c r="AW25" s="900"/>
      <c r="AX25" s="624"/>
      <c r="AY25" s="146"/>
      <c r="AZ25" s="920"/>
      <c r="BA25" s="920"/>
      <c r="BB25" s="636"/>
      <c r="BC25" s="637"/>
      <c r="BD25" s="11"/>
      <c r="BE25" s="628"/>
      <c r="BF25" s="629"/>
      <c r="BG25" s="630"/>
      <c r="BH25" s="631"/>
      <c r="BI25" s="632"/>
      <c r="BJ25" s="928"/>
      <c r="BK25" s="634" t="s">
        <v>64</v>
      </c>
      <c r="BL25" s="200"/>
      <c r="BM25" s="200"/>
      <c r="BN25" s="201"/>
      <c r="BO25" s="634"/>
      <c r="BP25" s="200" t="s">
        <v>8</v>
      </c>
      <c r="BQ25" s="203" t="s">
        <v>130</v>
      </c>
      <c r="BR25" s="200"/>
      <c r="BS25" s="201"/>
      <c r="BT25" s="634"/>
      <c r="BU25" s="201" t="s">
        <v>137</v>
      </c>
      <c r="BV25" s="634" t="s">
        <v>152</v>
      </c>
      <c r="BW25" s="202"/>
      <c r="BX25" s="203" t="s">
        <v>99</v>
      </c>
      <c r="BY25" s="625" t="s">
        <v>116</v>
      </c>
      <c r="BZ25" s="204" t="s">
        <v>128</v>
      </c>
      <c r="CA25" s="205" t="s">
        <v>133</v>
      </c>
      <c r="CB25" s="202" t="s">
        <v>129</v>
      </c>
      <c r="CC25" s="200"/>
      <c r="CD25" s="201"/>
      <c r="CE25" s="634" t="s">
        <v>129</v>
      </c>
      <c r="CF25" s="200"/>
      <c r="CG25" s="201"/>
      <c r="CH25" s="625"/>
      <c r="CI25" s="626"/>
      <c r="CL25" s="182"/>
      <c r="CM25" s="208"/>
      <c r="CN25" s="214" t="s">
        <v>26</v>
      </c>
      <c r="CO25" s="215" t="s">
        <v>6</v>
      </c>
      <c r="CP25" s="215" t="s">
        <v>63</v>
      </c>
      <c r="CQ25" s="210"/>
      <c r="CR25" s="211"/>
      <c r="CS25" s="211" t="s">
        <v>159</v>
      </c>
      <c r="CT25" s="210"/>
      <c r="CV25" s="396" t="s">
        <v>174</v>
      </c>
      <c r="CW25" s="400" t="s">
        <v>80</v>
      </c>
      <c r="CX25" s="209"/>
      <c r="CY25" s="216" t="s">
        <v>81</v>
      </c>
      <c r="CZ25" s="401"/>
      <c r="DA25" s="209"/>
      <c r="DB25" s="209"/>
      <c r="DC25" s="209"/>
      <c r="DD25" s="209"/>
      <c r="DE25" s="209"/>
      <c r="DF25" s="217"/>
      <c r="DG25" s="209"/>
      <c r="DH25" s="209"/>
      <c r="DI25" s="212"/>
      <c r="DJ25" s="11"/>
      <c r="DK25" s="218"/>
      <c r="DL25" s="219"/>
      <c r="DM25" s="219"/>
      <c r="DN25" s="219"/>
      <c r="DO25" s="219"/>
      <c r="DP25" s="219"/>
      <c r="DQ25" s="220"/>
    </row>
    <row r="26" spans="1:121" ht="13.5" customHeight="1">
      <c r="A26" s="168"/>
      <c r="B26" s="617"/>
      <c r="C26" s="618"/>
      <c r="D26" s="619"/>
      <c r="E26" s="620"/>
      <c r="F26" s="621"/>
      <c r="G26" s="636"/>
      <c r="H26" s="624" t="s">
        <v>7</v>
      </c>
      <c r="I26" s="624"/>
      <c r="J26" s="624" t="s">
        <v>72</v>
      </c>
      <c r="K26" s="624" t="s">
        <v>29</v>
      </c>
      <c r="L26" s="624" t="s">
        <v>154</v>
      </c>
      <c r="M26" s="146" t="s">
        <v>73</v>
      </c>
      <c r="N26" s="623" t="s">
        <v>32</v>
      </c>
      <c r="O26" s="624" t="s">
        <v>73</v>
      </c>
      <c r="P26" s="624" t="s">
        <v>31</v>
      </c>
      <c r="Q26" s="624" t="s">
        <v>28</v>
      </c>
      <c r="R26" s="623" t="s">
        <v>33</v>
      </c>
      <c r="S26" s="619"/>
      <c r="T26" s="624" t="s">
        <v>34</v>
      </c>
      <c r="U26" s="148" t="s">
        <v>77</v>
      </c>
      <c r="V26" s="624" t="s">
        <v>75</v>
      </c>
      <c r="W26" s="619"/>
      <c r="X26" s="624" t="s">
        <v>35</v>
      </c>
      <c r="Y26" s="624"/>
      <c r="Z26" s="620"/>
      <c r="AA26" s="619"/>
      <c r="AB26" s="624" t="s">
        <v>76</v>
      </c>
      <c r="AC26" s="624"/>
      <c r="AD26" s="887" t="s">
        <v>181</v>
      </c>
      <c r="AE26" s="572"/>
      <c r="AF26" s="570"/>
      <c r="AG26" s="479" t="s">
        <v>164</v>
      </c>
      <c r="AH26" s="477"/>
      <c r="AI26" s="478" t="s">
        <v>167</v>
      </c>
      <c r="AJ26" s="481"/>
      <c r="AK26" s="509"/>
      <c r="AL26" s="889" t="s">
        <v>41</v>
      </c>
      <c r="AM26" s="890"/>
      <c r="AN26" s="623" t="s">
        <v>78</v>
      </c>
      <c r="AO26" s="624"/>
      <c r="AP26" s="624" t="s">
        <v>155</v>
      </c>
      <c r="AQ26" s="624" t="s">
        <v>96</v>
      </c>
      <c r="AR26" s="624"/>
      <c r="AS26" s="624"/>
      <c r="AT26" s="146" t="s">
        <v>79</v>
      </c>
      <c r="AU26" s="623" t="s">
        <v>82</v>
      </c>
      <c r="AV26" s="624" t="s">
        <v>83</v>
      </c>
      <c r="AW26" s="609" t="s">
        <v>103</v>
      </c>
      <c r="AX26" s="624"/>
      <c r="AY26" s="146"/>
      <c r="AZ26" s="636" t="s">
        <v>42</v>
      </c>
      <c r="BA26" s="598" t="s">
        <v>182</v>
      </c>
      <c r="BB26" s="636"/>
      <c r="BC26" s="637"/>
      <c r="BD26" s="11"/>
      <c r="BE26" s="628"/>
      <c r="BF26" s="629"/>
      <c r="BG26" s="630"/>
      <c r="BH26" s="631"/>
      <c r="BI26" s="632"/>
      <c r="BJ26" s="634" t="s">
        <v>32</v>
      </c>
      <c r="BK26" s="634" t="s">
        <v>82</v>
      </c>
      <c r="BL26" s="200" t="s">
        <v>83</v>
      </c>
      <c r="BM26" s="200"/>
      <c r="BN26" s="201"/>
      <c r="BO26" s="634" t="s">
        <v>78</v>
      </c>
      <c r="BP26" s="200"/>
      <c r="BQ26" s="200" t="s">
        <v>96</v>
      </c>
      <c r="BR26" s="200" t="s">
        <v>97</v>
      </c>
      <c r="BS26" s="201" t="s">
        <v>79</v>
      </c>
      <c r="BT26" s="634" t="s">
        <v>7</v>
      </c>
      <c r="BU26" s="201" t="s">
        <v>75</v>
      </c>
      <c r="BV26" s="634" t="s">
        <v>16</v>
      </c>
      <c r="BW26" s="202"/>
      <c r="BX26" s="200" t="s">
        <v>103</v>
      </c>
      <c r="BY26" s="562" t="s">
        <v>175</v>
      </c>
      <c r="BZ26" s="204" t="s">
        <v>126</v>
      </c>
      <c r="CA26" s="205" t="s">
        <v>135</v>
      </c>
      <c r="CB26" s="221">
        <v>1.5</v>
      </c>
      <c r="CC26" s="222">
        <v>2</v>
      </c>
      <c r="CD26" s="223">
        <v>2.5</v>
      </c>
      <c r="CE26" s="224">
        <v>1.5</v>
      </c>
      <c r="CF26" s="222">
        <v>2</v>
      </c>
      <c r="CG26" s="223">
        <v>2.5</v>
      </c>
      <c r="CH26" s="625"/>
      <c r="CI26" s="626"/>
      <c r="CL26" s="182"/>
      <c r="CM26" s="208" t="s">
        <v>27</v>
      </c>
      <c r="CN26" s="209" t="s">
        <v>27</v>
      </c>
      <c r="CO26" s="209" t="s">
        <v>27</v>
      </c>
      <c r="CP26" s="225" t="s">
        <v>27</v>
      </c>
      <c r="CQ26" s="226" t="s">
        <v>40</v>
      </c>
      <c r="CR26" s="211"/>
      <c r="CS26" s="227" t="s">
        <v>49</v>
      </c>
      <c r="CT26" s="226" t="s">
        <v>48</v>
      </c>
      <c r="CU26" s="397" t="s">
        <v>160</v>
      </c>
      <c r="CV26" s="399" t="s">
        <v>161</v>
      </c>
      <c r="CW26" s="403" t="str">
        <f>+AW9</f>
        <v>h5</v>
      </c>
      <c r="CX26" s="398" t="s">
        <v>43</v>
      </c>
      <c r="CY26" s="398" t="str">
        <f>+AW10</f>
        <v>h6</v>
      </c>
      <c r="CZ26" s="404" t="s">
        <v>43</v>
      </c>
      <c r="DA26" s="405" t="s">
        <v>50</v>
      </c>
      <c r="DB26" s="229" t="s">
        <v>15</v>
      </c>
      <c r="DC26" s="229" t="s">
        <v>15</v>
      </c>
      <c r="DD26" s="229"/>
      <c r="DE26" s="229" t="s">
        <v>52</v>
      </c>
      <c r="DF26" s="230" t="s">
        <v>51</v>
      </c>
      <c r="DG26" s="228"/>
      <c r="DH26" s="228" t="s">
        <v>21</v>
      </c>
      <c r="DI26" s="231"/>
      <c r="DJ26" s="11"/>
      <c r="DK26" s="208" t="s">
        <v>6</v>
      </c>
      <c r="DL26" s="232" t="s">
        <v>45</v>
      </c>
      <c r="DM26" s="233"/>
      <c r="DN26" s="232" t="s">
        <v>46</v>
      </c>
      <c r="DO26" s="233"/>
      <c r="DP26" s="210" t="s">
        <v>47</v>
      </c>
      <c r="DQ26" s="234"/>
    </row>
    <row r="27" spans="1:121" ht="12.75" customHeight="1" thickBot="1">
      <c r="A27" s="168"/>
      <c r="B27" s="149"/>
      <c r="C27" s="150"/>
      <c r="D27" s="151"/>
      <c r="E27" s="152"/>
      <c r="F27" s="153"/>
      <c r="G27" s="154" t="s">
        <v>9</v>
      </c>
      <c r="H27" s="155" t="s">
        <v>9</v>
      </c>
      <c r="I27" s="155" t="s">
        <v>9</v>
      </c>
      <c r="J27" s="155" t="s">
        <v>9</v>
      </c>
      <c r="K27" s="155" t="s">
        <v>9</v>
      </c>
      <c r="L27" s="155" t="s">
        <v>22</v>
      </c>
      <c r="M27" s="156" t="s">
        <v>9</v>
      </c>
      <c r="N27" s="157" t="s">
        <v>9</v>
      </c>
      <c r="O27" s="155" t="s">
        <v>9</v>
      </c>
      <c r="P27" s="155" t="s">
        <v>9</v>
      </c>
      <c r="Q27" s="155" t="s">
        <v>9</v>
      </c>
      <c r="R27" s="157" t="s">
        <v>9</v>
      </c>
      <c r="S27" s="155" t="s">
        <v>9</v>
      </c>
      <c r="T27" s="155" t="s">
        <v>9</v>
      </c>
      <c r="U27" s="155" t="s">
        <v>9</v>
      </c>
      <c r="V27" s="155" t="s">
        <v>9</v>
      </c>
      <c r="W27" s="155" t="s">
        <v>9</v>
      </c>
      <c r="X27" s="155" t="s">
        <v>9</v>
      </c>
      <c r="Y27" s="155"/>
      <c r="Z27" s="891" t="s">
        <v>9</v>
      </c>
      <c r="AA27" s="892"/>
      <c r="AB27" s="155" t="s">
        <v>9</v>
      </c>
      <c r="AC27" s="155" t="s">
        <v>9</v>
      </c>
      <c r="AD27" s="888"/>
      <c r="AE27" s="155" t="s">
        <v>9</v>
      </c>
      <c r="AF27" s="155" t="s">
        <v>9</v>
      </c>
      <c r="AG27" s="482"/>
      <c r="AH27" s="482"/>
      <c r="AI27" s="483"/>
      <c r="AJ27" s="484"/>
      <c r="AK27" s="510"/>
      <c r="AL27" s="891" t="s">
        <v>9</v>
      </c>
      <c r="AM27" s="893"/>
      <c r="AN27" s="157" t="s">
        <v>9</v>
      </c>
      <c r="AO27" s="155"/>
      <c r="AP27" s="517" t="s">
        <v>22</v>
      </c>
      <c r="AQ27" s="155" t="s">
        <v>9</v>
      </c>
      <c r="AR27" s="155" t="s">
        <v>150</v>
      </c>
      <c r="AS27" s="155" t="s">
        <v>150</v>
      </c>
      <c r="AT27" s="156" t="s">
        <v>9</v>
      </c>
      <c r="AU27" s="157" t="s">
        <v>9</v>
      </c>
      <c r="AV27" s="155" t="s">
        <v>9</v>
      </c>
      <c r="AW27" s="610" t="s">
        <v>9</v>
      </c>
      <c r="AX27" s="155"/>
      <c r="AY27" s="156"/>
      <c r="AZ27" s="627" t="s">
        <v>9</v>
      </c>
      <c r="BA27" s="599" t="s">
        <v>9</v>
      </c>
      <c r="BB27" s="158"/>
      <c r="BC27" s="159"/>
      <c r="BD27" s="11"/>
      <c r="BE27" s="103"/>
      <c r="BF27" s="104"/>
      <c r="BG27" s="105"/>
      <c r="BH27" s="75"/>
      <c r="BI27" s="106"/>
      <c r="BJ27" s="235" t="s">
        <v>9</v>
      </c>
      <c r="BK27" s="235" t="s">
        <v>9</v>
      </c>
      <c r="BL27" s="236" t="s">
        <v>9</v>
      </c>
      <c r="BM27" s="236"/>
      <c r="BN27" s="237"/>
      <c r="BO27" s="235" t="s">
        <v>9</v>
      </c>
      <c r="BP27" s="236"/>
      <c r="BQ27" s="236" t="s">
        <v>9</v>
      </c>
      <c r="BR27" s="236" t="s">
        <v>22</v>
      </c>
      <c r="BS27" s="237" t="s">
        <v>9</v>
      </c>
      <c r="BT27" s="238" t="s">
        <v>9</v>
      </c>
      <c r="BU27" s="237" t="s">
        <v>9</v>
      </c>
      <c r="BV27" s="235" t="s">
        <v>9</v>
      </c>
      <c r="BW27" s="239" t="s">
        <v>9</v>
      </c>
      <c r="BX27" s="239" t="s">
        <v>9</v>
      </c>
      <c r="BY27" s="240"/>
      <c r="BZ27" s="241" t="s">
        <v>9</v>
      </c>
      <c r="CA27" s="242" t="s">
        <v>9</v>
      </c>
      <c r="CB27" s="239" t="s">
        <v>9</v>
      </c>
      <c r="CC27" s="239" t="s">
        <v>9</v>
      </c>
      <c r="CD27" s="237" t="s">
        <v>9</v>
      </c>
      <c r="CE27" s="235" t="s">
        <v>9</v>
      </c>
      <c r="CF27" s="236" t="s">
        <v>9</v>
      </c>
      <c r="CG27" s="237" t="s">
        <v>9</v>
      </c>
      <c r="CH27" s="243"/>
      <c r="CI27" s="244"/>
      <c r="CL27" s="182"/>
      <c r="CM27" s="245" t="s">
        <v>9</v>
      </c>
      <c r="CN27" s="246"/>
      <c r="CO27" s="246"/>
      <c r="CP27" s="246"/>
      <c r="CQ27" s="247"/>
      <c r="CR27" s="393"/>
      <c r="CS27" s="248"/>
      <c r="CT27" s="395"/>
      <c r="CU27" s="394" t="s">
        <v>84</v>
      </c>
      <c r="CV27" s="250" t="s">
        <v>84</v>
      </c>
      <c r="CW27" s="390"/>
      <c r="CX27" s="249" t="s">
        <v>162</v>
      </c>
      <c r="CY27" s="249"/>
      <c r="CZ27" s="402" t="s">
        <v>162</v>
      </c>
      <c r="DA27" s="394" t="s">
        <v>162</v>
      </c>
      <c r="DB27" s="249"/>
      <c r="DC27" s="249"/>
      <c r="DD27" s="250"/>
      <c r="DE27" s="250" t="s">
        <v>84</v>
      </c>
      <c r="DF27" s="251" t="s">
        <v>84</v>
      </c>
      <c r="DG27" s="249"/>
      <c r="DH27" s="249"/>
      <c r="DI27" s="252"/>
      <c r="DJ27" s="11"/>
      <c r="DK27" s="253" t="s">
        <v>9</v>
      </c>
      <c r="DL27" s="254" t="s">
        <v>9</v>
      </c>
      <c r="DM27" s="255"/>
      <c r="DN27" s="254"/>
      <c r="DO27" s="255"/>
      <c r="DP27" s="256"/>
      <c r="DQ27" s="257"/>
    </row>
    <row r="28" spans="1:121" s="165" customFormat="1" ht="15" customHeight="1" thickBot="1">
      <c r="A28" s="168"/>
      <c r="B28" s="3"/>
      <c r="C28" s="4"/>
      <c r="D28" s="5"/>
      <c r="E28" s="870"/>
      <c r="F28" s="871"/>
      <c r="G28" s="6"/>
      <c r="H28" s="7"/>
      <c r="I28" s="8"/>
      <c r="J28" s="432"/>
      <c r="K28" s="433"/>
      <c r="L28" s="433"/>
      <c r="M28" s="434">
        <f>IF(J28="","",ROUND(J28-K28*L28/100,3))</f>
      </c>
      <c r="N28" s="9"/>
      <c r="O28" s="7"/>
      <c r="P28" s="7"/>
      <c r="Q28" s="411"/>
      <c r="R28" s="9"/>
      <c r="S28" s="13"/>
      <c r="T28" s="7"/>
      <c r="U28" s="7"/>
      <c r="V28" s="7"/>
      <c r="W28" s="7"/>
      <c r="X28" s="7"/>
      <c r="Y28" s="442"/>
      <c r="Z28" s="443"/>
      <c r="AA28" s="444"/>
      <c r="AB28" s="445"/>
      <c r="AC28" s="445"/>
      <c r="AD28" s="446"/>
      <c r="AE28" s="573">
        <f>IF(AC28="","",$AX$9)</f>
      </c>
      <c r="AF28" s="573">
        <f>IF(AC28="","",$AX$10)</f>
      </c>
      <c r="AG28" s="485">
        <f>IF(AB28="","",IF(CQ29&gt;=CX28,"○","×"))</f>
      </c>
      <c r="AH28" s="486">
        <f>IF(AG28="","",ROUND(CQ29-AS29/1000-CV28,3))</f>
      </c>
      <c r="AI28" s="487">
        <f>IF(AG28="","",IF(AG28="×","×",IF(OR(AD29="",AD29=$CT$17),AG28,IF(AND(CQ28&gt;=DA29,DA29&gt;=CX28),"○","×"))))</f>
      </c>
      <c r="AJ28" s="488"/>
      <c r="AK28" s="511"/>
      <c r="AL28" s="461">
        <f>+DG28</f>
      </c>
      <c r="AM28" s="462">
        <f>+DQ29</f>
      </c>
      <c r="AN28" s="9"/>
      <c r="AO28" s="7"/>
      <c r="AP28" s="10"/>
      <c r="AQ28" s="7"/>
      <c r="AR28" s="11"/>
      <c r="AS28" s="11"/>
      <c r="AT28" s="12"/>
      <c r="AU28" s="9"/>
      <c r="AV28" s="13"/>
      <c r="AW28" s="614"/>
      <c r="AX28" s="7"/>
      <c r="AY28" s="592"/>
      <c r="AZ28" s="600"/>
      <c r="BA28" s="589"/>
      <c r="BB28" s="6"/>
      <c r="BC28" s="14"/>
      <c r="BD28" s="11"/>
      <c r="BE28" s="541">
        <f>IF(B28&lt;&gt;"",B28,"")</f>
      </c>
      <c r="BF28" s="561"/>
      <c r="BG28" s="542"/>
      <c r="BH28" s="877">
        <f>IF(E28&lt;&gt;"",E28,"")</f>
      </c>
      <c r="BI28" s="878"/>
      <c r="BJ28" s="543"/>
      <c r="BK28" s="544"/>
      <c r="BL28" s="545"/>
      <c r="BM28" s="546"/>
      <c r="BN28" s="547"/>
      <c r="BO28" s="544"/>
      <c r="BP28" s="548"/>
      <c r="BQ28" s="548"/>
      <c r="BR28" s="549"/>
      <c r="BS28" s="550"/>
      <c r="BT28" s="551"/>
      <c r="BU28" s="552"/>
      <c r="BV28" s="544"/>
      <c r="BW28" s="545"/>
      <c r="BX28" s="546"/>
      <c r="BY28" s="553"/>
      <c r="BZ28" s="554"/>
      <c r="CA28" s="555"/>
      <c r="CB28" s="556"/>
      <c r="CC28" s="557"/>
      <c r="CD28" s="558"/>
      <c r="CE28" s="559"/>
      <c r="CF28" s="557"/>
      <c r="CG28" s="554"/>
      <c r="CH28" s="560"/>
      <c r="CI28" s="171"/>
      <c r="CJ28" s="166"/>
      <c r="CK28" s="166"/>
      <c r="CL28" s="182"/>
      <c r="CM28" s="274"/>
      <c r="CN28" s="275">
        <f>$F$18</f>
        <v>0.85</v>
      </c>
      <c r="CO28" s="587">
        <f>S29</f>
      </c>
      <c r="CP28" s="276">
        <f>W29</f>
      </c>
      <c r="CQ28" s="277" t="str">
        <f>INDEX($CM$24:$CP$24,1,MATCH(CQ29,CM29:CP29,0))</f>
        <v>宅内配管</v>
      </c>
      <c r="CR28" s="389">
        <f>IF(Y28="","",Y28)</f>
      </c>
      <c r="CS28" s="278">
        <f>IF(OR(AA28="",AB28="",AC28="",AQ29&lt;AB28),"",IF(Z28="土被り",R29-AA28-AC28,IF(Z28="標高",AA28)))</f>
      </c>
      <c r="CT28" s="467">
        <f>IF(CS28="","",CS28+AC28)</f>
      </c>
      <c r="CU28" s="474">
        <f>IF(CS28="","",CS28+AB28*AP29/100)</f>
      </c>
      <c r="CV28" s="279">
        <f>IF(CT28="","",CT28+AB28*AP29/100)</f>
      </c>
      <c r="CW28" s="457">
        <f>AE28</f>
      </c>
      <c r="CX28" s="280">
        <f>IF(CS28="","",CV28+CW28+AS29/1000)</f>
      </c>
      <c r="CY28" s="458">
        <f>AF28</f>
      </c>
      <c r="CZ28" s="281">
        <f>IF(CS28="","",CU28-CY28-AS29/1000-AR29/1000)</f>
      </c>
      <c r="DA28" s="282">
        <f>IF(CS28="","",IF(OR(AND(CW28=0,CY28=0),AD28=$CT$17),"",IF(CQ29&gt;=CX28,CQ29,MIN(CQ29,CZ28))))</f>
      </c>
      <c r="DB28" s="406">
        <f>IF(CU28="","",IF(CQ29&gt;=CX28,"○","×"))</f>
      </c>
      <c r="DC28" s="406">
        <f>IF(DB28="","",IF(DB28="×","×",IF(AND(CW28=0,CY28=0),"○",IF(AND(CQ29&gt;=DA29,DA29&gt;=CX28),"○","×"))))</f>
      </c>
      <c r="DD28" s="475">
        <f>IF(AD28="","",AD28)</f>
      </c>
      <c r="DE28" s="283">
        <f>IF(AND(DA29="",DA28=""),"",MIN(DA29,DA28))</f>
      </c>
      <c r="DF28" s="284">
        <f>IF(DE28="",CQ29,IF(DA28="",DE28,IF(DA29="",DE28,IF(AND(DC28="×",DC29="×"),MIN(CZ29,CZ28,DA29,DA28),IF(DE28=DA29,IF(DC29="○",DA28,DA29),IF(DE28=DA28,IF(DC28="○",DA29,DA28)))))))</f>
      </c>
      <c r="DG28" s="285">
        <f>IF(CS28="","",IF(AND(CW28=0,CY28=0),"無視",IF(DF28&gt;=CU28,"上越し","下越し")))</f>
      </c>
      <c r="DH28" s="286"/>
      <c r="DI28" s="287"/>
      <c r="DJ28" s="11"/>
      <c r="DK28" s="218" t="s">
        <v>56</v>
      </c>
      <c r="DL28" s="288" t="s">
        <v>16</v>
      </c>
      <c r="DM28" s="289" t="s">
        <v>57</v>
      </c>
      <c r="DN28" s="288" t="s">
        <v>16</v>
      </c>
      <c r="DO28" s="289"/>
      <c r="DP28" s="290"/>
      <c r="DQ28" s="291"/>
    </row>
    <row r="29" spans="1:121" s="165" customFormat="1" ht="15" customHeight="1" thickBot="1">
      <c r="A29" s="168"/>
      <c r="B29" s="414"/>
      <c r="C29" s="59"/>
      <c r="D29" s="60"/>
      <c r="E29" s="563"/>
      <c r="F29" s="564"/>
      <c r="G29" s="15">
        <f>$F$6</f>
        <v>0.1</v>
      </c>
      <c r="H29" s="16"/>
      <c r="I29" s="17">
        <f>IF(H29="","",IF(K29&lt;50,$I$8,IF(K29&lt;120,$I$9,$I$10)))</f>
      </c>
      <c r="J29" s="435">
        <f>IF(H29="","",H29-I29-G29)</f>
      </c>
      <c r="K29" s="436"/>
      <c r="L29" s="437">
        <f>IF(K29="","",IF(K29&lt;50,$I$12,IF(K29&lt;120,$I$13,$I$14)))</f>
      </c>
      <c r="M29" s="438">
        <f>IF(K29="","",ROUND(H29-I29-G29-K29*L29/100,3))</f>
      </c>
      <c r="N29" s="21"/>
      <c r="O29" s="18">
        <f>IF(AND(M29="",M28=""),"",MIN(M29,M28))</f>
      </c>
      <c r="P29" s="22">
        <f>IF(N29="","",$F$16)</f>
      </c>
      <c r="Q29" s="410">
        <f>IF(N29="","",N29-O29+P29)</f>
      </c>
      <c r="R29" s="21"/>
      <c r="S29" s="567">
        <f>IF(R29="","",$AX$7)</f>
      </c>
      <c r="T29" s="23">
        <f>IF(R29="","",DK29)</f>
      </c>
      <c r="U29" s="16"/>
      <c r="V29" s="16"/>
      <c r="W29" s="567">
        <f>IF(U29="","",$AX$8)</f>
      </c>
      <c r="X29" s="23">
        <f>+DM29</f>
      </c>
      <c r="Y29" s="447"/>
      <c r="Z29" s="448"/>
      <c r="AA29" s="449"/>
      <c r="AB29" s="450"/>
      <c r="AC29" s="450"/>
      <c r="AD29" s="451"/>
      <c r="AE29" s="574">
        <f>IF(AC29="","",$AX$9)</f>
      </c>
      <c r="AF29" s="574">
        <f>IF(AC29="","",$AX$10)</f>
      </c>
      <c r="AG29" s="489">
        <f>IF(AB29="","",IF(CQ29&gt;=CX29,"○","×"))</f>
      </c>
      <c r="AH29" s="490">
        <f>IF(AG29="","",ROUND(CQ29-AS29/1000-CV29,3))</f>
      </c>
      <c r="AI29" s="491">
        <f>IF(AG29="","",IF(AG29="×","×",IF(OR(AD28="",AD28=$CT$17),AG29,IF(AND(CQ29&gt;=DA28,DA28&gt;=CX29),"○","×"))))</f>
      </c>
      <c r="AJ29" s="492"/>
      <c r="AK29" s="512"/>
      <c r="AL29" s="463">
        <f>+DG29</f>
      </c>
      <c r="AM29" s="464">
        <f>+DO29</f>
      </c>
      <c r="AN29" s="25">
        <f>IF(OR(AO29="",AQ29="",AP29=""),"",DF28)</f>
      </c>
      <c r="AO29" s="24"/>
      <c r="AP29" s="19"/>
      <c r="AQ29" s="19"/>
      <c r="AR29" s="22">
        <f>IF(AO29="","",VLOOKUP(AO29,$AO$7:$AQ$12,2,0))</f>
      </c>
      <c r="AS29" s="22">
        <f>IF(AO29="","",VLOOKUP(AO29,$AO$7:$AQ$12,3,0))</f>
      </c>
      <c r="AT29" s="20">
        <f>IF(AN29="","",AN29-AQ29*AP29/100)</f>
      </c>
      <c r="AU29" s="26">
        <f>IF(DF28="","",IF(Q29&gt;=$F$18,Q29,$F$18))</f>
      </c>
      <c r="AV29" s="27">
        <f>IF(AN29="","",N29-DF28)</f>
      </c>
      <c r="AW29" s="611"/>
      <c r="AX29" s="28">
        <f>IF(AU29="","",IF((AV29-AU29)&lt;VLOOKUP(VALUE(RIGHT(AO29,3)),$AW$16:$AX$17,2,0),"標準","ドロップ"))</f>
      </c>
      <c r="AY29" s="591">
        <f>IF(Q29="","",DH29)</f>
      </c>
      <c r="AZ29" s="602"/>
      <c r="BA29" s="20">
        <f>IF(AT29="","",AT29-AZ29)</f>
      </c>
      <c r="BB29" s="29"/>
      <c r="BC29" s="30"/>
      <c r="BD29" s="11"/>
      <c r="BE29" s="879">
        <f>IF(B29&lt;&gt;"",B29,"")</f>
      </c>
      <c r="BF29" s="880"/>
      <c r="BG29" s="880"/>
      <c r="BH29" s="880"/>
      <c r="BI29" s="881"/>
      <c r="BJ29" s="292">
        <f>IF(N29&lt;&gt;"",N29,"")</f>
      </c>
      <c r="BK29" s="293">
        <f>'様式１０号'!AU29</f>
      </c>
      <c r="BL29" s="294">
        <f>'様式１０号'!AV29</f>
      </c>
      <c r="BM29" s="295">
        <f>+AX29</f>
      </c>
      <c r="BN29" s="296">
        <f>'様式１０号'!AY29</f>
      </c>
      <c r="BO29" s="297">
        <f>'様式１０号'!AN29</f>
      </c>
      <c r="BP29" s="298">
        <f>IF(AO29&lt;&gt;"",AO29,"")</f>
      </c>
      <c r="BQ29" s="299">
        <f>IF(AQ29&lt;&gt;"",AQ29,"")</f>
      </c>
      <c r="BR29" s="299">
        <f>IF(AP29&lt;&gt;"",AP29,"")</f>
      </c>
      <c r="BS29" s="300">
        <f>IF(BO29="","",BO29-BQ29*BR29/100)</f>
      </c>
      <c r="BT29" s="301">
        <f>IF(R29&lt;&gt;"",R29,"")</f>
      </c>
      <c r="BU29" s="302"/>
      <c r="BV29" s="297">
        <f>IF(BO29="","",ROUND(BO29-BU29*BR29/100,3))</f>
      </c>
      <c r="BW29" s="303"/>
      <c r="BX29" s="304">
        <f>IF(OR(BV29="",CH29="簡易推進"),"",ROUND(BT29-BV29+BW29,2))</f>
      </c>
      <c r="BY29" s="305"/>
      <c r="BZ29" s="306">
        <f>IF(BX29="","",IF(AND(BX29&lt;=1.5,BY29=""),"",IF(BX29+0.2&lt;=1.5,1.5,IF(BX29+0.2&lt;=2,2,IF(BX29+0.2&lt;=2.5,2.5)))))</f>
      </c>
      <c r="CA29" s="307"/>
      <c r="CB29" s="308">
        <f>IF(BZ29="","",IF(BX29&lt;=$CB$26,CA29,""))</f>
      </c>
      <c r="CC29" s="309">
        <f>IF(BZ29="","",IF(AND(BX29&gt;$CB$26,BX29&lt;=$CC$26),CA29,""))</f>
      </c>
      <c r="CD29" s="310">
        <f>IF(BZ29="","",IF(BX29&lt;=$CC$26,"",IF(AND(BX29&gt;$CC$26,BX29&lt;=$CD$26),CA29,"")))</f>
      </c>
      <c r="CE29" s="311"/>
      <c r="CF29" s="312"/>
      <c r="CG29" s="313"/>
      <c r="CH29" s="314"/>
      <c r="CI29" s="315"/>
      <c r="CJ29" s="166"/>
      <c r="CK29" s="415">
        <f>E29</f>
        <v>0</v>
      </c>
      <c r="CL29" s="182"/>
      <c r="CM29" s="316">
        <f>IF(O29="","",O29-P29)</f>
      </c>
      <c r="CN29" s="317">
        <f>IF(O29="","",N29-CN28)</f>
      </c>
      <c r="CO29" s="317">
        <f>IF(AO29="","",IF(R29="","",R29-CO28-AS29/1000-AR29/1000))</f>
      </c>
      <c r="CP29" s="318">
        <f>IF(U29="","",U29-CP28-AS29/1000-AR29/1000+V29*AP29/100)</f>
      </c>
      <c r="CQ29" s="319">
        <f>IF(O29="","",MIN(CM29,CN29,CO29,CP29))</f>
      </c>
      <c r="CR29" s="390">
        <f>IF(Y29="","",Y29)</f>
      </c>
      <c r="CS29" s="320">
        <f>IF(OR(AA29="",AB29="",AC29="",AQ29&lt;AB29),"",IF(Z29="土被り",R29-AA29-AC29,IF(Z29="標高",AA29)))</f>
      </c>
      <c r="CT29" s="468">
        <f>IF(CS29="","",CS29+AC29)</f>
      </c>
      <c r="CU29" s="469">
        <f>IF(CS29="","",CS29+AB29*AP29/100)</f>
      </c>
      <c r="CV29" s="321">
        <f>IF(CT29="","",CT29+AB29*AP29/100)</f>
      </c>
      <c r="CW29" s="459">
        <f>AE29</f>
      </c>
      <c r="CX29" s="322">
        <f>IF(CS29="","",CV29+CW29+AS29/1000)</f>
      </c>
      <c r="CY29" s="460">
        <f>AF29</f>
      </c>
      <c r="CZ29" s="323">
        <f>IF(CS29="","",CU29-CY29-AS29/1000-AR29/1000)</f>
      </c>
      <c r="DA29" s="324">
        <f>IF(CS29="","",IF(OR(AD29=$CT$17,AND(CW29=0,CY29=0)),"",IF(CQ29&gt;=CX29,CQ29,MIN(CQ29,CZ29))))</f>
      </c>
      <c r="DB29" s="407">
        <f>IF(CU29="","",IF(CQ29&gt;=CX29,"○","×"))</f>
      </c>
      <c r="DC29" s="407">
        <f>IF(DA28="",DB29,IF(DB29="×","×",IF(AND(CW29=0,CY29=0),"○",IF(AND(CQ29&gt;=DA28,DA28&gt;=CX29),"○","×"))))</f>
      </c>
      <c r="DD29" s="475">
        <f>IF(AD29="","",AD29)</f>
      </c>
      <c r="DE29" s="325"/>
      <c r="DF29" s="326"/>
      <c r="DG29" s="322">
        <f>IF(CS29="","",IF(AND(CW29=0,CY29=0),"無視",IF(DF28&gt;=CU29,"上越し","下越し")))</f>
      </c>
      <c r="DH29" s="325" t="str">
        <f>IF(DF28=CQ29,CQ28,IF(CZ29=DF28,CR29&amp;DG29,CR28&amp;DG28))</f>
        <v>宅内配管</v>
      </c>
      <c r="DI29" s="327"/>
      <c r="DJ29" s="11"/>
      <c r="DK29" s="328">
        <f>IF(AN29="","",R29-DF28-AR29/1000-AS29/1000)</f>
      </c>
      <c r="DL29" s="254">
        <f>IF(U29="","",DF28-V29*AP29/100)</f>
      </c>
      <c r="DM29" s="329">
        <f>IF(U29="","",U29-DL29-AR29/1000-AS29/1000)</f>
      </c>
      <c r="DN29" s="254">
        <f>IF(CS29="","",DF28-AB29*AP29/100)</f>
      </c>
      <c r="DO29" s="330">
        <f>IF(CS29="","",IF(CS29&gt;=DN29,CS29-DN29-AR29/1000-AS29/1000,DN29-CT29-AS29/1000))</f>
      </c>
      <c r="DP29" s="331">
        <f>IF(CS28="","",DF28-AB28*AP29/100)</f>
      </c>
      <c r="DQ29" s="332">
        <f>IF(CS28="","",IF(CS28&gt;=DP29,CS28-DP29-AR29/1000-AS29/1000,DP29-CT28-AS29/1000))</f>
      </c>
    </row>
    <row r="30" spans="1:121" s="165" customFormat="1" ht="15" customHeight="1">
      <c r="A30" s="168"/>
      <c r="B30" s="565"/>
      <c r="C30" s="32"/>
      <c r="D30" s="33"/>
      <c r="E30" s="34"/>
      <c r="F30" s="35"/>
      <c r="G30" s="6"/>
      <c r="H30" s="7"/>
      <c r="I30" s="8"/>
      <c r="J30" s="7"/>
      <c r="K30" s="36"/>
      <c r="L30" s="36"/>
      <c r="M30" s="12"/>
      <c r="N30" s="9"/>
      <c r="O30" s="7"/>
      <c r="P30" s="37"/>
      <c r="Q30" s="411"/>
      <c r="R30" s="9"/>
      <c r="S30" s="13"/>
      <c r="T30" s="7"/>
      <c r="U30" s="7"/>
      <c r="V30" s="7"/>
      <c r="W30" s="7"/>
      <c r="X30" s="7"/>
      <c r="Y30" s="38"/>
      <c r="Z30" s="8"/>
      <c r="AA30" s="13"/>
      <c r="AB30" s="7"/>
      <c r="AC30" s="7"/>
      <c r="AD30" s="7"/>
      <c r="AE30" s="37"/>
      <c r="AF30" s="37"/>
      <c r="AG30" s="493"/>
      <c r="AH30" s="494"/>
      <c r="AI30" s="493"/>
      <c r="AJ30" s="495"/>
      <c r="AK30" s="513"/>
      <c r="AL30" s="102"/>
      <c r="AM30" s="418"/>
      <c r="AN30" s="9"/>
      <c r="AO30" s="7"/>
      <c r="AP30" s="36"/>
      <c r="AQ30" s="7"/>
      <c r="AR30" s="7"/>
      <c r="AS30" s="7"/>
      <c r="AT30" s="12"/>
      <c r="AU30" s="39"/>
      <c r="AV30" s="40"/>
      <c r="AW30" s="612"/>
      <c r="AX30" s="38"/>
      <c r="AY30" s="592"/>
      <c r="AZ30" s="600"/>
      <c r="BA30" s="589"/>
      <c r="BB30" s="6"/>
      <c r="BC30" s="14"/>
      <c r="BD30" s="11"/>
      <c r="BE30" s="333"/>
      <c r="BF30" s="334"/>
      <c r="BG30" s="335"/>
      <c r="BH30" s="336"/>
      <c r="BI30" s="337"/>
      <c r="BJ30" s="258"/>
      <c r="BK30" s="338"/>
      <c r="BL30" s="339"/>
      <c r="BM30" s="200"/>
      <c r="BN30" s="261"/>
      <c r="BO30" s="259"/>
      <c r="BP30" s="262"/>
      <c r="BQ30" s="262"/>
      <c r="BR30" s="340"/>
      <c r="BS30" s="264"/>
      <c r="BT30" s="259"/>
      <c r="BU30" s="264"/>
      <c r="BV30" s="259"/>
      <c r="BW30" s="260"/>
      <c r="BX30" s="200"/>
      <c r="BY30" s="341"/>
      <c r="BZ30" s="267"/>
      <c r="CA30" s="268"/>
      <c r="CB30" s="269"/>
      <c r="CC30" s="270"/>
      <c r="CD30" s="271"/>
      <c r="CE30" s="342" t="s">
        <v>139</v>
      </c>
      <c r="CF30" s="270"/>
      <c r="CG30" s="267"/>
      <c r="CH30" s="273"/>
      <c r="CI30" s="83"/>
      <c r="CJ30" s="166"/>
      <c r="CK30" s="166"/>
      <c r="CL30" s="182"/>
      <c r="CM30" s="343"/>
      <c r="CN30" s="344"/>
      <c r="CO30" s="344"/>
      <c r="CP30" s="344"/>
      <c r="CQ30" s="344"/>
      <c r="CR30" s="391"/>
      <c r="CS30" s="344"/>
      <c r="CT30" s="470"/>
      <c r="CU30" s="471"/>
      <c r="CV30" s="344"/>
      <c r="CW30" s="345"/>
      <c r="CX30" s="344"/>
      <c r="CY30" s="344"/>
      <c r="CZ30" s="346"/>
      <c r="DA30" s="344"/>
      <c r="DB30" s="408"/>
      <c r="DC30" s="408"/>
      <c r="DD30" s="408"/>
      <c r="DE30" s="344"/>
      <c r="DF30" s="344"/>
      <c r="DG30" s="344"/>
      <c r="DH30" s="344"/>
      <c r="DI30" s="347"/>
      <c r="DJ30" s="11"/>
      <c r="DK30" s="343"/>
      <c r="DL30" s="345"/>
      <c r="DM30" s="346"/>
      <c r="DN30" s="345"/>
      <c r="DO30" s="346"/>
      <c r="DP30" s="344"/>
      <c r="DQ30" s="347"/>
    </row>
    <row r="31" spans="1:121" s="165" customFormat="1" ht="15" customHeight="1" thickBot="1">
      <c r="A31" s="168"/>
      <c r="B31" s="41"/>
      <c r="C31" s="42"/>
      <c r="D31" s="43"/>
      <c r="E31" s="44"/>
      <c r="F31" s="45"/>
      <c r="G31" s="46"/>
      <c r="H31" s="47"/>
      <c r="I31" s="48"/>
      <c r="J31" s="47"/>
      <c r="K31" s="49"/>
      <c r="L31" s="49"/>
      <c r="M31" s="50"/>
      <c r="N31" s="51"/>
      <c r="O31" s="47"/>
      <c r="P31" s="52"/>
      <c r="Q31" s="412"/>
      <c r="R31" s="51"/>
      <c r="S31" s="54"/>
      <c r="T31" s="47"/>
      <c r="U31" s="47"/>
      <c r="V31" s="47"/>
      <c r="W31" s="47"/>
      <c r="X31" s="47"/>
      <c r="Y31" s="53"/>
      <c r="Z31" s="48"/>
      <c r="AA31" s="54"/>
      <c r="AB31" s="47"/>
      <c r="AC31" s="47"/>
      <c r="AD31" s="47"/>
      <c r="AE31" s="52"/>
      <c r="AF31" s="52"/>
      <c r="AG31" s="496"/>
      <c r="AH31" s="497"/>
      <c r="AI31" s="496"/>
      <c r="AJ31" s="498"/>
      <c r="AK31" s="514"/>
      <c r="AL31" s="162"/>
      <c r="AM31" s="419"/>
      <c r="AN31" s="51"/>
      <c r="AO31" s="47"/>
      <c r="AP31" s="49"/>
      <c r="AQ31" s="47"/>
      <c r="AR31" s="47"/>
      <c r="AS31" s="47"/>
      <c r="AT31" s="50"/>
      <c r="AU31" s="55"/>
      <c r="AV31" s="56"/>
      <c r="AW31" s="613"/>
      <c r="AX31" s="53">
        <f>RIGHT(AO31,3)</f>
      </c>
      <c r="AY31" s="593"/>
      <c r="AZ31" s="601"/>
      <c r="BA31" s="590"/>
      <c r="BB31" s="46"/>
      <c r="BC31" s="57"/>
      <c r="BD31" s="11"/>
      <c r="BE31" s="348"/>
      <c r="BF31" s="349"/>
      <c r="BG31" s="350"/>
      <c r="BH31" s="351"/>
      <c r="BI31" s="352"/>
      <c r="BJ31" s="353"/>
      <c r="BK31" s="354"/>
      <c r="BL31" s="355"/>
      <c r="BM31" s="356"/>
      <c r="BN31" s="357"/>
      <c r="BO31" s="358"/>
      <c r="BP31" s="359"/>
      <c r="BQ31" s="359"/>
      <c r="BR31" s="360"/>
      <c r="BS31" s="361"/>
      <c r="BT31" s="358"/>
      <c r="BU31" s="361"/>
      <c r="BV31" s="358"/>
      <c r="BW31" s="362"/>
      <c r="BX31" s="356"/>
      <c r="BY31" s="363"/>
      <c r="BZ31" s="364"/>
      <c r="CA31" s="365"/>
      <c r="CB31" s="366"/>
      <c r="CC31" s="367"/>
      <c r="CD31" s="368"/>
      <c r="CE31" s="369" t="s">
        <v>140</v>
      </c>
      <c r="CF31" s="367"/>
      <c r="CG31" s="364"/>
      <c r="CH31" s="370"/>
      <c r="CI31" s="371"/>
      <c r="CJ31" s="166"/>
      <c r="CK31" s="415"/>
      <c r="CL31" s="182"/>
      <c r="CM31" s="372"/>
      <c r="CN31" s="373"/>
      <c r="CO31" s="373"/>
      <c r="CP31" s="373"/>
      <c r="CQ31" s="373"/>
      <c r="CR31" s="392"/>
      <c r="CS31" s="373"/>
      <c r="CT31" s="472"/>
      <c r="CU31" s="473"/>
      <c r="CV31" s="373"/>
      <c r="CW31" s="374"/>
      <c r="CX31" s="373"/>
      <c r="CY31" s="373"/>
      <c r="CZ31" s="375"/>
      <c r="DA31" s="373"/>
      <c r="DB31" s="409"/>
      <c r="DC31" s="409"/>
      <c r="DD31" s="409"/>
      <c r="DE31" s="373"/>
      <c r="DF31" s="373"/>
      <c r="DG31" s="373"/>
      <c r="DH31" s="373"/>
      <c r="DI31" s="376"/>
      <c r="DJ31" s="11"/>
      <c r="DK31" s="372"/>
      <c r="DL31" s="374"/>
      <c r="DM31" s="375"/>
      <c r="DN31" s="374"/>
      <c r="DO31" s="375"/>
      <c r="DP31" s="373"/>
      <c r="DQ31" s="376"/>
    </row>
    <row r="32" spans="1:121" s="165" customFormat="1" ht="15" customHeight="1" thickBot="1">
      <c r="A32" s="168"/>
      <c r="B32" s="882"/>
      <c r="C32" s="883"/>
      <c r="D32" s="884"/>
      <c r="E32" s="870"/>
      <c r="F32" s="871"/>
      <c r="G32" s="6"/>
      <c r="H32" s="7"/>
      <c r="I32" s="8"/>
      <c r="J32" s="439"/>
      <c r="K32" s="440"/>
      <c r="L32" s="440"/>
      <c r="M32" s="441">
        <f>IF(J32="","",ROUND(J32-K32*L32/100,3))</f>
      </c>
      <c r="N32" s="9"/>
      <c r="O32" s="7"/>
      <c r="P32" s="7"/>
      <c r="Q32" s="411"/>
      <c r="R32" s="9"/>
      <c r="S32" s="13"/>
      <c r="T32" s="7"/>
      <c r="U32" s="7"/>
      <c r="V32" s="7"/>
      <c r="W32" s="7"/>
      <c r="X32" s="7"/>
      <c r="Y32" s="452"/>
      <c r="Z32" s="453"/>
      <c r="AA32" s="454"/>
      <c r="AB32" s="455"/>
      <c r="AC32" s="455"/>
      <c r="AD32" s="456"/>
      <c r="AE32" s="575">
        <f>IF(AC32="","",$AX$9)</f>
      </c>
      <c r="AF32" s="575">
        <f>IF(AC32="","",$AX$10)</f>
      </c>
      <c r="AG32" s="499">
        <f>IF(AB32="","",IF(CQ33&gt;=CX32,"○","×"))</f>
      </c>
      <c r="AH32" s="500">
        <f>IF(AG32="","",ROUND(CQ33-AS33/1000-CV32,3))</f>
      </c>
      <c r="AI32" s="501">
        <f>IF(AG32="","",IF(AG32="×","×",IF(OR(AD33="",AD33=$CT$17),AG32,IF(AND(CQ32&gt;=DA33,DA33&gt;=CX32),"○","×"))))</f>
      </c>
      <c r="AJ32" s="502"/>
      <c r="AK32" s="515"/>
      <c r="AL32" s="465">
        <f>+DG32</f>
      </c>
      <c r="AM32" s="466">
        <f>+DQ33</f>
      </c>
      <c r="AN32" s="9"/>
      <c r="AO32" s="7"/>
      <c r="AP32" s="10"/>
      <c r="AQ32" s="7"/>
      <c r="AR32" s="11"/>
      <c r="AS32" s="11"/>
      <c r="AT32" s="12"/>
      <c r="AU32" s="9"/>
      <c r="AV32" s="13"/>
      <c r="AW32" s="614"/>
      <c r="AX32" s="38"/>
      <c r="AY32" s="592"/>
      <c r="AZ32" s="600"/>
      <c r="BA32" s="589"/>
      <c r="BB32" s="6"/>
      <c r="BC32" s="14"/>
      <c r="BD32" s="11"/>
      <c r="BE32" s="872">
        <f>IF(B32&lt;&gt;"",B32,"")</f>
      </c>
      <c r="BF32" s="873"/>
      <c r="BG32" s="874"/>
      <c r="BH32" s="875">
        <f>IF(E32&lt;&gt;"",E32,"")</f>
      </c>
      <c r="BI32" s="876"/>
      <c r="BJ32" s="258"/>
      <c r="BK32" s="259"/>
      <c r="BL32" s="260"/>
      <c r="BM32" s="200"/>
      <c r="BN32" s="261"/>
      <c r="BO32" s="259"/>
      <c r="BP32" s="262"/>
      <c r="BQ32" s="262"/>
      <c r="BR32" s="263"/>
      <c r="BS32" s="264"/>
      <c r="BT32" s="265"/>
      <c r="BU32" s="266"/>
      <c r="BV32" s="259"/>
      <c r="BW32" s="260"/>
      <c r="BX32" s="200"/>
      <c r="BY32" s="341"/>
      <c r="BZ32" s="267"/>
      <c r="CA32" s="268"/>
      <c r="CB32" s="269"/>
      <c r="CC32" s="270"/>
      <c r="CD32" s="271"/>
      <c r="CE32" s="272"/>
      <c r="CF32" s="270"/>
      <c r="CG32" s="267"/>
      <c r="CH32" s="273"/>
      <c r="CI32" s="83"/>
      <c r="CJ32" s="166"/>
      <c r="CK32" s="166"/>
      <c r="CL32" s="182"/>
      <c r="CM32" s="274"/>
      <c r="CN32" s="275">
        <f>$F$18</f>
        <v>0.85</v>
      </c>
      <c r="CO32" s="587">
        <f>S33</f>
      </c>
      <c r="CP32" s="276">
        <f>W33</f>
      </c>
      <c r="CQ32" s="277" t="str">
        <f>INDEX($CM$24:$CP$24,1,MATCH(CQ33,CM33:CP33,0))</f>
        <v>宅内配管</v>
      </c>
      <c r="CR32" s="389">
        <f>IF(Y32="","",Y32)</f>
      </c>
      <c r="CS32" s="278">
        <f>IF(OR(AA32="",AB32="",AC32="",AQ33&lt;AB32),"",IF(Z32="土被り",R33-AA32-AC32,IF(Z32="標高",AA32)))</f>
      </c>
      <c r="CT32" s="467">
        <f>IF(CS32="","",CS32+AC32)</f>
      </c>
      <c r="CU32" s="474">
        <f>IF(CS32="","",CS32+AB32*AP33/100)</f>
      </c>
      <c r="CV32" s="279">
        <f>IF(CT32="","",CT32+AB32*AP33/100)</f>
      </c>
      <c r="CW32" s="457">
        <f>AE32</f>
      </c>
      <c r="CX32" s="280">
        <f>IF(CS32="","",CV32+CW32+AS33/1000)</f>
      </c>
      <c r="CY32" s="458">
        <f>AF32</f>
      </c>
      <c r="CZ32" s="281">
        <f>IF(CS32="","",CU32-CY32-AS33/1000-AR33/1000)</f>
      </c>
      <c r="DA32" s="282">
        <f>IF(CS32="","",IF(OR(AND(CW32=0,CY32=0),AD32=$CT$17),"",IF(CQ33&gt;=CX32,CQ33,MIN(CQ33,CZ32))))</f>
      </c>
      <c r="DB32" s="406">
        <f>IF(CU32="","",IF(CQ33&gt;=CX32,"○","×"))</f>
      </c>
      <c r="DC32" s="406">
        <f>IF(DB32="","",IF(DB32="×","×",IF(AND(CW32=0,CY32=0),"○",IF(AND(CQ33&gt;=DA33,DA33&gt;=CX32),"○","×"))))</f>
      </c>
      <c r="DD32" s="475">
        <f>IF(AD32="","",AD32)</f>
      </c>
      <c r="DE32" s="283">
        <f>IF(AND(DA33="",DA32=""),"",MIN(DA33,DA32))</f>
      </c>
      <c r="DF32" s="284">
        <f>IF(DE32="",CQ33,IF(DA32="",DE32,IF(DA33="",DE32,IF(AND(DC32="×",DC33="×"),MIN(CZ33,CZ32,DA33,DA32),IF(DE32=DA33,IF(DC33="○",DA32,DA33),IF(DE32=DA32,IF(DC32="○",DA33,DA32)))))))</f>
      </c>
      <c r="DG32" s="285">
        <f>IF(CS32="","",IF(AND(CW32=0,CY32=0),"無視",IF(DF32&gt;=CU32,"上越し","下越し")))</f>
      </c>
      <c r="DH32" s="286"/>
      <c r="DI32" s="287"/>
      <c r="DJ32" s="11"/>
      <c r="DK32" s="218" t="s">
        <v>58</v>
      </c>
      <c r="DL32" s="288" t="s">
        <v>16</v>
      </c>
      <c r="DM32" s="289" t="s">
        <v>59</v>
      </c>
      <c r="DN32" s="288" t="s">
        <v>16</v>
      </c>
      <c r="DO32" s="289"/>
      <c r="DP32" s="290"/>
      <c r="DQ32" s="291"/>
    </row>
    <row r="33" spans="1:121" s="165" customFormat="1" ht="15" customHeight="1" thickBot="1">
      <c r="A33" s="168"/>
      <c r="B33" s="58"/>
      <c r="C33" s="59"/>
      <c r="D33" s="60"/>
      <c r="E33" s="863"/>
      <c r="F33" s="864"/>
      <c r="G33" s="15">
        <f>$F$6</f>
        <v>0.1</v>
      </c>
      <c r="H33" s="16"/>
      <c r="I33" s="17">
        <f>IF(H33="","",IF(K33&lt;50,$I$8,IF(K33&lt;120,$I$9,$I$10)))</f>
      </c>
      <c r="J33" s="435">
        <f>IF(H33="","",H33-I33-G33)</f>
      </c>
      <c r="K33" s="436"/>
      <c r="L33" s="437">
        <f>IF(K33="","",IF(K33&lt;50,$I$12,IF(K33&lt;120,$I$13,$I$14)))</f>
      </c>
      <c r="M33" s="438">
        <f>IF(K33="","",ROUND(H33-I33-G33-K33*L33/100,3))</f>
      </c>
      <c r="N33" s="21"/>
      <c r="O33" s="18">
        <f>IF(AND(M33="",M32=""),"",MIN(M33,M32))</f>
      </c>
      <c r="P33" s="22">
        <f>IF(N33="","",$F$16)</f>
      </c>
      <c r="Q33" s="410">
        <f>IF(N33="","",N33-O33+P33)</f>
      </c>
      <c r="R33" s="21"/>
      <c r="S33" s="567">
        <f>IF(R33="","",$AX$7)</f>
      </c>
      <c r="T33" s="23">
        <f>IF(R33="","",DK33)</f>
      </c>
      <c r="U33" s="16"/>
      <c r="V33" s="16"/>
      <c r="W33" s="567">
        <f>IF(U33="","",$AX$8)</f>
      </c>
      <c r="X33" s="23">
        <f>+DM33</f>
      </c>
      <c r="Y33" s="447"/>
      <c r="Z33" s="448"/>
      <c r="AA33" s="449"/>
      <c r="AB33" s="450"/>
      <c r="AC33" s="450"/>
      <c r="AD33" s="451"/>
      <c r="AE33" s="574">
        <f>IF(AC33="","",$AX$9)</f>
      </c>
      <c r="AF33" s="574">
        <f>IF(AC33="","",$AX$10)</f>
      </c>
      <c r="AG33" s="489">
        <f>IF(AB33="","",IF(CQ33&gt;=CX33,"○","×"))</f>
      </c>
      <c r="AH33" s="490">
        <f>IF(AG33="","",ROUND(CQ33-AS33/1000-CV33,3))</f>
      </c>
      <c r="AI33" s="491">
        <f>IF(AG33="","",IF(AG33="×","×",IF(OR(AD32="",AD32=$CT$17),AG33,IF(AND(CQ33&gt;=DA32,DA32&gt;=CX33),"○","×"))))</f>
      </c>
      <c r="AJ33" s="492"/>
      <c r="AK33" s="512"/>
      <c r="AL33" s="463">
        <f>+DG33</f>
      </c>
      <c r="AM33" s="464">
        <f>+DO33</f>
      </c>
      <c r="AN33" s="25">
        <f>IF(OR(AO33="",AQ33="",AP33=""),"",DF32)</f>
      </c>
      <c r="AO33" s="24"/>
      <c r="AP33" s="19"/>
      <c r="AQ33" s="19"/>
      <c r="AR33" s="22">
        <f>IF(AO33="","",VLOOKUP(AO33,$AO$7:$AQ$12,2,0))</f>
      </c>
      <c r="AS33" s="22">
        <f>IF(AO33="","",VLOOKUP(AO33,$AO$7:$AQ$12,3,0))</f>
      </c>
      <c r="AT33" s="20">
        <f>IF(AN33="","",AN33-AQ33*AP33/100)</f>
      </c>
      <c r="AU33" s="26">
        <f>IF(DF32="","",IF(Q33&gt;=$F$18,Q33,$F$18))</f>
      </c>
      <c r="AV33" s="27">
        <f>IF(AN33="","",N33-DF32)</f>
      </c>
      <c r="AW33" s="611">
        <f>IF(AU33&gt;AV33,AU33,AV33)</f>
      </c>
      <c r="AX33" s="28">
        <f>IF(AU33="","",IF((AV33-AU33)&lt;VLOOKUP(VALUE(RIGHT(AO33,3)),$AW$16:$AX$17,2,0),"標準","ドロップ"))</f>
      </c>
      <c r="AY33" s="591">
        <f>IF(Q33="","",DH33)</f>
      </c>
      <c r="AZ33" s="602"/>
      <c r="BA33" s="20">
        <f>IF(AT33="","",AT33-AZ33)</f>
      </c>
      <c r="BB33" s="29"/>
      <c r="BC33" s="30"/>
      <c r="BD33" s="11"/>
      <c r="BE33" s="377">
        <f>IF(B33&lt;&gt;"",B33,"")</f>
      </c>
      <c r="BF33" s="378">
        <f>IF(C33&lt;&gt;"",C33,"")</f>
      </c>
      <c r="BG33" s="379">
        <f>IF(D33&lt;&gt;"",D33,"")</f>
      </c>
      <c r="BH33" s="865">
        <f>IF(E33&lt;&gt;"",E33,"")</f>
      </c>
      <c r="BI33" s="866"/>
      <c r="BJ33" s="292">
        <f>IF(N33&lt;&gt;"",N33,"")</f>
      </c>
      <c r="BK33" s="293">
        <f>'様式１０号'!AU33</f>
      </c>
      <c r="BL33" s="294">
        <f>'様式１０号'!AV33</f>
      </c>
      <c r="BM33" s="295">
        <f>+AX33</f>
      </c>
      <c r="BN33" s="296">
        <f>'様式１０号'!AY33</f>
      </c>
      <c r="BO33" s="297">
        <f>'様式１０号'!AN33</f>
      </c>
      <c r="BP33" s="298">
        <f>IF(AO33&lt;&gt;"",AO33,"")</f>
      </c>
      <c r="BQ33" s="299">
        <f>IF(AQ33&lt;&gt;"",AQ33,"")</f>
      </c>
      <c r="BR33" s="299">
        <f>IF(AP33&lt;&gt;"",AP33,"")</f>
      </c>
      <c r="BS33" s="300">
        <f>IF(BO33="","",BO33-BQ33*BR33/100)</f>
      </c>
      <c r="BT33" s="301">
        <f>IF(R33&lt;&gt;"",R33,"")</f>
      </c>
      <c r="BU33" s="302">
        <v>0.5</v>
      </c>
      <c r="BV33" s="297">
        <f>IF(BO33="","",ROUND(BO33-BU33*BR33/100,3))</f>
      </c>
      <c r="BW33" s="303">
        <v>0.1</v>
      </c>
      <c r="BX33" s="304">
        <f>IF(OR(BV33="",CH33="簡易推進"),"",ROUND(BT33-BV33+BW33,2))</f>
      </c>
      <c r="BY33" s="305"/>
      <c r="BZ33" s="306">
        <f>IF(BX33="","",IF(AND(BX33&lt;=1.5,BY33=""),"",IF(BX33+0.2&lt;=1.5,1.5,IF(BX33+0.2&lt;=2,2,IF(BX33+0.2&lt;=2.5,2.5)))))</f>
      </c>
      <c r="CA33" s="307"/>
      <c r="CB33" s="308">
        <f>IF(BZ33="","",IF(BX33&lt;=$CB$26,CA33,""))</f>
      </c>
      <c r="CC33" s="309">
        <f>IF(BZ33="","",IF(AND(BX33&gt;$CB$26,BX33&lt;=$CC$26),CA33,""))</f>
      </c>
      <c r="CD33" s="310">
        <f>IF(BZ33="","",IF(BX33&lt;=$CC$26,"",IF(AND(BX33&gt;$CC$26,BX33&lt;=$CD$26),CA33,"")))</f>
      </c>
      <c r="CE33" s="311"/>
      <c r="CF33" s="312"/>
      <c r="CG33" s="313"/>
      <c r="CH33" s="314"/>
      <c r="CI33" s="315"/>
      <c r="CJ33" s="166"/>
      <c r="CK33" s="415">
        <f>E33</f>
        <v>0</v>
      </c>
      <c r="CL33" s="182"/>
      <c r="CM33" s="316">
        <f>IF(O33="","",O33-P33)</f>
      </c>
      <c r="CN33" s="317">
        <f>IF(O33="","",N33-CN32)</f>
      </c>
      <c r="CO33" s="317">
        <f>IF(AO33="","",IF(R33="","",R33-CO32-AS33/1000-AR33/1000))</f>
      </c>
      <c r="CP33" s="318">
        <f>IF(U33="","",U33-CP32-AS33/1000-AR33/1000+V33*AP33/100)</f>
      </c>
      <c r="CQ33" s="319">
        <f>IF(O33="","",MIN(CM33,CN33,CO33,CP33))</f>
      </c>
      <c r="CR33" s="390">
        <f>IF(Y33="","",Y33)</f>
      </c>
      <c r="CS33" s="320">
        <f>IF(OR(AA33="",AB33="",AC33="",AQ33&lt;AB33),"",IF(Z33="土被り",R33-AA33-AC33,IF(Z33="標高",AA33)))</f>
      </c>
      <c r="CT33" s="468">
        <f>IF(CS33="","",CS33+AC33)</f>
      </c>
      <c r="CU33" s="469">
        <f>IF(CS33="","",CS33+AB33*AP33/100)</f>
      </c>
      <c r="CV33" s="321">
        <f>IF(CT33="","",CT33+AB33*AP33/100)</f>
      </c>
      <c r="CW33" s="459">
        <f>AE33</f>
      </c>
      <c r="CX33" s="322">
        <f>IF(CS33="","",CV33+CW33+AS33/1000)</f>
      </c>
      <c r="CY33" s="460">
        <f>AF33</f>
      </c>
      <c r="CZ33" s="323">
        <f>IF(CS33="","",CU33-CY33-AS33/1000-AR33/1000)</f>
      </c>
      <c r="DA33" s="324">
        <f>IF(CS33="","",IF(OR(AD33=$CT$17,AND(CW33=0,CY33=0)),"",IF(CQ33&gt;=CX33,CQ33,MIN(CQ33,CZ33))))</f>
      </c>
      <c r="DB33" s="407">
        <f>IF(CU33="","",IF(CQ33&gt;=CX33,"○","×"))</f>
      </c>
      <c r="DC33" s="407">
        <f>IF(DA32="",DB33,IF(DB33="×","×",IF(AND(CW33=0,CY33=0),"○",IF(AND(CQ33&gt;=DA32,DA32&gt;=CX33),"○","×"))))</f>
      </c>
      <c r="DD33" s="475">
        <f>IF(AD33="","",AD33)</f>
      </c>
      <c r="DE33" s="325"/>
      <c r="DF33" s="326"/>
      <c r="DG33" s="322">
        <f>IF(CS33="","",IF(AND(CW33=0,CY33=0),"無視",IF(DF32&gt;=CU33,"上越し","下越し")))</f>
      </c>
      <c r="DH33" s="325" t="str">
        <f>IF(DF32=CQ33,CQ32,IF(CZ33=DF32,CR33&amp;DG33,CR32&amp;DG32))</f>
        <v>宅内配管</v>
      </c>
      <c r="DI33" s="327"/>
      <c r="DJ33" s="11"/>
      <c r="DK33" s="328">
        <f>IF(AN33="","",R33-DF32-AR33/1000-AS33/1000)</f>
      </c>
      <c r="DL33" s="254">
        <f>IF(U33="","",DF32-V33*AP33/100)</f>
      </c>
      <c r="DM33" s="329">
        <f>IF(U33="","",U33-DL33-AR33/1000-AS33/1000)</f>
      </c>
      <c r="DN33" s="254">
        <f>IF(CS33="","",DF32-AB33*AP33/100)</f>
      </c>
      <c r="DO33" s="330">
        <f>IF(CS33="","",IF(CS33&gt;=DN33,CS33-DN33-AR33/1000-AS33/1000,DN33-CT33-AS33/1000))</f>
      </c>
      <c r="DP33" s="331">
        <f>IF(CS32="","",DF32-AB32*AP33/100)</f>
      </c>
      <c r="DQ33" s="332">
        <f>IF(CS32="","",IF(CS32&gt;=DP33,CS32-DP33-AR33/1000-AS33/1000,DP33-CT32-AS33/1000))</f>
      </c>
    </row>
    <row r="34" spans="1:121" s="165" customFormat="1" ht="15" customHeight="1">
      <c r="A34" s="168"/>
      <c r="B34" s="31"/>
      <c r="C34" s="32"/>
      <c r="D34" s="33"/>
      <c r="E34" s="34"/>
      <c r="F34" s="35"/>
      <c r="G34" s="6"/>
      <c r="H34" s="7"/>
      <c r="I34" s="8"/>
      <c r="J34" s="7"/>
      <c r="K34" s="36"/>
      <c r="L34" s="36"/>
      <c r="M34" s="12"/>
      <c r="N34" s="9"/>
      <c r="O34" s="7"/>
      <c r="P34" s="37"/>
      <c r="Q34" s="411"/>
      <c r="R34" s="9"/>
      <c r="S34" s="13"/>
      <c r="T34" s="7"/>
      <c r="U34" s="7"/>
      <c r="V34" s="7"/>
      <c r="W34" s="7"/>
      <c r="X34" s="7"/>
      <c r="Y34" s="38"/>
      <c r="Z34" s="8"/>
      <c r="AA34" s="13"/>
      <c r="AB34" s="7"/>
      <c r="AC34" s="7"/>
      <c r="AD34" s="7"/>
      <c r="AE34" s="37"/>
      <c r="AF34" s="37"/>
      <c r="AG34" s="493"/>
      <c r="AH34" s="494"/>
      <c r="AI34" s="493"/>
      <c r="AJ34" s="495"/>
      <c r="AK34" s="513"/>
      <c r="AL34" s="102"/>
      <c r="AM34" s="418"/>
      <c r="AN34" s="9"/>
      <c r="AO34" s="7"/>
      <c r="AP34" s="36"/>
      <c r="AQ34" s="7"/>
      <c r="AR34" s="7"/>
      <c r="AS34" s="7"/>
      <c r="AT34" s="12"/>
      <c r="AU34" s="39"/>
      <c r="AV34" s="40"/>
      <c r="AW34" s="612"/>
      <c r="AX34" s="38"/>
      <c r="AY34" s="592"/>
      <c r="AZ34" s="600"/>
      <c r="BA34" s="589"/>
      <c r="BB34" s="6"/>
      <c r="BC34" s="14"/>
      <c r="BD34" s="11"/>
      <c r="BE34" s="333"/>
      <c r="BF34" s="334"/>
      <c r="BG34" s="335"/>
      <c r="BH34" s="336"/>
      <c r="BI34" s="337"/>
      <c r="BJ34" s="258"/>
      <c r="BK34" s="338"/>
      <c r="BL34" s="339"/>
      <c r="BM34" s="200"/>
      <c r="BN34" s="261"/>
      <c r="BO34" s="259"/>
      <c r="BP34" s="262"/>
      <c r="BQ34" s="262"/>
      <c r="BR34" s="340"/>
      <c r="BS34" s="264"/>
      <c r="BT34" s="259"/>
      <c r="BU34" s="264"/>
      <c r="BV34" s="259"/>
      <c r="BW34" s="260"/>
      <c r="BX34" s="200"/>
      <c r="BY34" s="341"/>
      <c r="BZ34" s="267"/>
      <c r="CA34" s="268"/>
      <c r="CB34" s="269"/>
      <c r="CC34" s="270"/>
      <c r="CD34" s="271"/>
      <c r="CE34" s="272"/>
      <c r="CF34" s="270"/>
      <c r="CG34" s="267"/>
      <c r="CH34" s="273"/>
      <c r="CI34" s="83"/>
      <c r="CJ34" s="166"/>
      <c r="CK34" s="166"/>
      <c r="CL34" s="182"/>
      <c r="CM34" s="343"/>
      <c r="CN34" s="344"/>
      <c r="CO34" s="344"/>
      <c r="CP34" s="344"/>
      <c r="CQ34" s="344"/>
      <c r="CR34" s="391"/>
      <c r="CS34" s="344"/>
      <c r="CT34" s="470"/>
      <c r="CU34" s="471"/>
      <c r="CV34" s="344"/>
      <c r="CW34" s="345"/>
      <c r="CX34" s="344"/>
      <c r="CY34" s="344"/>
      <c r="CZ34" s="346"/>
      <c r="DA34" s="344"/>
      <c r="DB34" s="408"/>
      <c r="DC34" s="408"/>
      <c r="DD34" s="408"/>
      <c r="DE34" s="344"/>
      <c r="DF34" s="344"/>
      <c r="DG34" s="344"/>
      <c r="DH34" s="344"/>
      <c r="DI34" s="347"/>
      <c r="DJ34" s="11"/>
      <c r="DK34" s="343"/>
      <c r="DL34" s="345"/>
      <c r="DM34" s="346"/>
      <c r="DN34" s="345"/>
      <c r="DO34" s="346"/>
      <c r="DP34" s="344"/>
      <c r="DQ34" s="347"/>
    </row>
    <row r="35" spans="1:121" s="165" customFormat="1" ht="15" customHeight="1" thickBot="1">
      <c r="A35" s="168"/>
      <c r="B35" s="41"/>
      <c r="C35" s="42"/>
      <c r="D35" s="43"/>
      <c r="E35" s="44"/>
      <c r="F35" s="45"/>
      <c r="G35" s="46"/>
      <c r="H35" s="47"/>
      <c r="I35" s="48"/>
      <c r="J35" s="47"/>
      <c r="K35" s="49"/>
      <c r="L35" s="49"/>
      <c r="M35" s="50"/>
      <c r="N35" s="51"/>
      <c r="O35" s="47"/>
      <c r="P35" s="52"/>
      <c r="Q35" s="412"/>
      <c r="R35" s="51"/>
      <c r="S35" s="54"/>
      <c r="T35" s="47"/>
      <c r="U35" s="47"/>
      <c r="V35" s="47"/>
      <c r="W35" s="47"/>
      <c r="X35" s="47"/>
      <c r="Y35" s="53"/>
      <c r="Z35" s="48"/>
      <c r="AA35" s="54"/>
      <c r="AB35" s="47"/>
      <c r="AC35" s="47"/>
      <c r="AD35" s="47"/>
      <c r="AE35" s="52"/>
      <c r="AF35" s="52"/>
      <c r="AG35" s="496"/>
      <c r="AH35" s="497"/>
      <c r="AI35" s="496"/>
      <c r="AJ35" s="498"/>
      <c r="AK35" s="514"/>
      <c r="AL35" s="162"/>
      <c r="AM35" s="419"/>
      <c r="AN35" s="51"/>
      <c r="AO35" s="47"/>
      <c r="AP35" s="49"/>
      <c r="AQ35" s="47"/>
      <c r="AR35" s="47"/>
      <c r="AS35" s="47"/>
      <c r="AT35" s="50"/>
      <c r="AU35" s="55"/>
      <c r="AV35" s="56"/>
      <c r="AW35" s="613"/>
      <c r="AX35" s="53"/>
      <c r="AY35" s="593"/>
      <c r="AZ35" s="601"/>
      <c r="BA35" s="590"/>
      <c r="BB35" s="46"/>
      <c r="BC35" s="57"/>
      <c r="BD35" s="11"/>
      <c r="BE35" s="348"/>
      <c r="BF35" s="349"/>
      <c r="BG35" s="350"/>
      <c r="BH35" s="380"/>
      <c r="BI35" s="381"/>
      <c r="BJ35" s="353"/>
      <c r="BK35" s="354"/>
      <c r="BL35" s="355"/>
      <c r="BM35" s="356"/>
      <c r="BN35" s="357"/>
      <c r="BO35" s="358"/>
      <c r="BP35" s="359"/>
      <c r="BQ35" s="359"/>
      <c r="BR35" s="360"/>
      <c r="BS35" s="361"/>
      <c r="BT35" s="358"/>
      <c r="BU35" s="361"/>
      <c r="BV35" s="358"/>
      <c r="BW35" s="362"/>
      <c r="BX35" s="356"/>
      <c r="BY35" s="363"/>
      <c r="BZ35" s="364"/>
      <c r="CA35" s="365"/>
      <c r="CB35" s="366"/>
      <c r="CC35" s="367"/>
      <c r="CD35" s="368"/>
      <c r="CE35" s="382"/>
      <c r="CF35" s="367"/>
      <c r="CG35" s="364"/>
      <c r="CH35" s="370"/>
      <c r="CI35" s="371"/>
      <c r="CJ35" s="166"/>
      <c r="CK35" s="166"/>
      <c r="CL35" s="182"/>
      <c r="CM35" s="372"/>
      <c r="CN35" s="373"/>
      <c r="CO35" s="373"/>
      <c r="CP35" s="373"/>
      <c r="CQ35" s="373"/>
      <c r="CR35" s="392"/>
      <c r="CS35" s="373"/>
      <c r="CT35" s="472"/>
      <c r="CU35" s="473"/>
      <c r="CV35" s="373"/>
      <c r="CW35" s="374"/>
      <c r="CX35" s="373"/>
      <c r="CY35" s="373"/>
      <c r="CZ35" s="375"/>
      <c r="DA35" s="373"/>
      <c r="DB35" s="409"/>
      <c r="DC35" s="409"/>
      <c r="DD35" s="409"/>
      <c r="DE35" s="373"/>
      <c r="DF35" s="373"/>
      <c r="DG35" s="373"/>
      <c r="DH35" s="373"/>
      <c r="DI35" s="376"/>
      <c r="DJ35" s="11"/>
      <c r="DK35" s="372"/>
      <c r="DL35" s="374"/>
      <c r="DM35" s="375"/>
      <c r="DN35" s="374"/>
      <c r="DO35" s="375"/>
      <c r="DP35" s="373"/>
      <c r="DQ35" s="376"/>
    </row>
    <row r="36" spans="1:148" ht="15" customHeight="1" thickBot="1">
      <c r="A36" s="168"/>
      <c r="B36" s="867">
        <f>IF(E37="","",B32)</f>
      </c>
      <c r="C36" s="868"/>
      <c r="D36" s="869"/>
      <c r="E36" s="870"/>
      <c r="F36" s="871"/>
      <c r="G36" s="6"/>
      <c r="H36" s="7"/>
      <c r="I36" s="8"/>
      <c r="J36" s="439"/>
      <c r="K36" s="440"/>
      <c r="L36" s="440"/>
      <c r="M36" s="441">
        <f>IF(J36="","",ROUND(J36-K36*L36/100,3))</f>
      </c>
      <c r="N36" s="9"/>
      <c r="O36" s="7"/>
      <c r="P36" s="7"/>
      <c r="Q36" s="411"/>
      <c r="R36" s="9"/>
      <c r="S36" s="13"/>
      <c r="T36" s="7"/>
      <c r="U36" s="7"/>
      <c r="V36" s="7"/>
      <c r="W36" s="7"/>
      <c r="X36" s="7"/>
      <c r="Y36" s="452"/>
      <c r="Z36" s="453"/>
      <c r="AA36" s="454"/>
      <c r="AB36" s="455"/>
      <c r="AC36" s="455"/>
      <c r="AD36" s="456"/>
      <c r="AE36" s="575">
        <f>IF(AC36="","",$AX$9)</f>
      </c>
      <c r="AF36" s="575">
        <f>IF(AC36="","",$AX$10)</f>
      </c>
      <c r="AG36" s="499">
        <f>IF(AB36="","",IF(CQ37&gt;=CX36,"○","×"))</f>
      </c>
      <c r="AH36" s="500">
        <f>IF(AG36="","",ROUND(CQ37-AS37/1000-CV36,3))</f>
      </c>
      <c r="AI36" s="501">
        <f>IF(AG36="","",IF(AG36="×","×",IF(OR(AD37="",AD37=$CT$17),AG36,IF(AND(CQ36&gt;=DA37,DA37&gt;=CX36),"○","×"))))</f>
      </c>
      <c r="AJ36" s="503"/>
      <c r="AK36" s="515"/>
      <c r="AL36" s="465">
        <f>+DG36</f>
      </c>
      <c r="AM36" s="466">
        <f>+DQ37</f>
      </c>
      <c r="AN36" s="9"/>
      <c r="AO36" s="7"/>
      <c r="AP36" s="10"/>
      <c r="AQ36" s="7"/>
      <c r="AR36" s="11"/>
      <c r="AS36" s="11"/>
      <c r="AT36" s="12"/>
      <c r="AU36" s="9"/>
      <c r="AV36" s="13"/>
      <c r="AW36" s="614"/>
      <c r="AX36" s="38"/>
      <c r="AY36" s="592"/>
      <c r="AZ36" s="600"/>
      <c r="BA36" s="589"/>
      <c r="BB36" s="6"/>
      <c r="BC36" s="14"/>
      <c r="BD36" s="11"/>
      <c r="BE36" s="872">
        <f aca="true" t="shared" si="0" ref="BE36:BG37">IF(B36&lt;&gt;"",B36,"")</f>
      </c>
      <c r="BF36" s="873"/>
      <c r="BG36" s="874"/>
      <c r="BH36" s="875">
        <f>IF(E36&lt;&gt;"",E36,"")</f>
      </c>
      <c r="BI36" s="876"/>
      <c r="BJ36" s="258"/>
      <c r="BK36" s="259"/>
      <c r="BL36" s="260"/>
      <c r="BM36" s="200"/>
      <c r="BN36" s="261"/>
      <c r="BO36" s="259"/>
      <c r="BP36" s="262"/>
      <c r="BQ36" s="262"/>
      <c r="BR36" s="263"/>
      <c r="BS36" s="264"/>
      <c r="BT36" s="265"/>
      <c r="BU36" s="266"/>
      <c r="BV36" s="259"/>
      <c r="BW36" s="260"/>
      <c r="BX36" s="200"/>
      <c r="BY36" s="341"/>
      <c r="BZ36" s="267"/>
      <c r="CA36" s="268"/>
      <c r="CB36" s="269"/>
      <c r="CC36" s="270"/>
      <c r="CD36" s="271"/>
      <c r="CE36" s="272"/>
      <c r="CF36" s="270"/>
      <c r="CG36" s="267"/>
      <c r="CH36" s="273"/>
      <c r="CI36" s="83"/>
      <c r="CL36" s="182"/>
      <c r="CM36" s="274"/>
      <c r="CN36" s="275">
        <f>$F$18</f>
        <v>0.85</v>
      </c>
      <c r="CO36" s="587">
        <f>S37</f>
      </c>
      <c r="CP36" s="276">
        <f>W37</f>
      </c>
      <c r="CQ36" s="277" t="str">
        <f>INDEX($CM$24:$CP$24,1,MATCH(CQ37,CM37:CP37,0))</f>
        <v>宅内配管</v>
      </c>
      <c r="CR36" s="389">
        <f>IF(Y36="","",Y36)</f>
      </c>
      <c r="CS36" s="278">
        <f>IF(OR(AA36="",AB36="",AC36="",AQ37&lt;AB36),"",IF(Z36="土被り",R37-AA36-AC36,IF(Z36="標高",AA36)))</f>
      </c>
      <c r="CT36" s="467">
        <f>IF(CS36="","",CS36+AC36)</f>
      </c>
      <c r="CU36" s="474">
        <f>IF(CS36="","",CS36+AB36*AP37/100)</f>
      </c>
      <c r="CV36" s="279">
        <f>IF(CT36="","",CT36+AB36*AP37/100)</f>
      </c>
      <c r="CW36" s="457">
        <f>AE36</f>
      </c>
      <c r="CX36" s="280">
        <f>IF(CS36="","",CV36+CW36+AS37/1000)</f>
      </c>
      <c r="CY36" s="458">
        <f>AF36</f>
      </c>
      <c r="CZ36" s="281">
        <f>IF(CS36="","",CU36-CY36-AS37/1000-AR37/1000)</f>
      </c>
      <c r="DA36" s="282">
        <f>IF(CS36="","",IF(OR(AND(CW36=0,CY36=0),AD36=$CT$17),"",IF(CQ37&gt;=CX36,CQ37,MIN(CQ37,CZ36))))</f>
      </c>
      <c r="DB36" s="406">
        <f>IF(CU36="","",IF(CQ37&gt;=CX36,"○","×"))</f>
      </c>
      <c r="DC36" s="406">
        <f>IF(DB36="","",IF(DB36="×","×",IF(AND(CW36=0,CY36=0),"○",IF(AND(CQ37&gt;=DA37,DA37&gt;=CX36),"○","×"))))</f>
      </c>
      <c r="DD36" s="475">
        <f>IF(AD36="","",AD36)</f>
      </c>
      <c r="DE36" s="283">
        <f>IF(AND(DA37="",DA36=""),"",MIN(DA37,DA36))</f>
      </c>
      <c r="DF36" s="284">
        <f>IF(DE36="",CQ37,IF(DA36="",DE36,IF(DA37="",DE36,IF(AND(DC36="×",DC37="×"),MIN(CZ37,CZ36,DA37,DA36),IF(DE36=DA37,IF(DC37="○",DA36,DA37),IF(DE36=DA36,IF(DC36="○",DA37,DA36)))))))</f>
      </c>
      <c r="DG36" s="285">
        <f>IF(CS36="","",IF(AND(CW36=0,CY36=0),"無視",IF(DF36&gt;=CU36,"上越し","下越し")))</f>
      </c>
      <c r="DH36" s="286"/>
      <c r="DI36" s="287"/>
      <c r="DJ36" s="11"/>
      <c r="DK36" s="218" t="s">
        <v>60</v>
      </c>
      <c r="DL36" s="288" t="s">
        <v>16</v>
      </c>
      <c r="DM36" s="289" t="s">
        <v>61</v>
      </c>
      <c r="DN36" s="288" t="s">
        <v>16</v>
      </c>
      <c r="DO36" s="289"/>
      <c r="DP36" s="290"/>
      <c r="DQ36" s="291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</row>
    <row r="37" spans="1:148" ht="15" customHeight="1" thickBot="1">
      <c r="A37" s="168"/>
      <c r="B37" s="58"/>
      <c r="C37" s="59"/>
      <c r="D37" s="588"/>
      <c r="E37" s="863"/>
      <c r="F37" s="864"/>
      <c r="G37" s="15">
        <f>$F$6</f>
        <v>0.1</v>
      </c>
      <c r="H37" s="16"/>
      <c r="I37" s="17">
        <f>IF(H37="","",IF(K37&lt;50,$I$8,IF(K37&lt;120,$I$9,$I$10)))</f>
      </c>
      <c r="J37" s="435">
        <f>IF(H37="","",H37-I37-G37)</f>
      </c>
      <c r="K37" s="436"/>
      <c r="L37" s="437">
        <f>IF(K37="","",IF(K37&lt;50,$I$12,IF(K37&lt;120,$I$13,$I$14)))</f>
      </c>
      <c r="M37" s="438">
        <f>IF(K37="","",ROUND(H37-I37-G37-K37*L37/100,3))</f>
      </c>
      <c r="N37" s="21"/>
      <c r="O37" s="18">
        <f>IF(AND(M37="",M36=""),"",MIN(M37,M36))</f>
      </c>
      <c r="P37" s="22">
        <f>IF(N37="","",$F$16)</f>
      </c>
      <c r="Q37" s="410">
        <f>IF(N37="","",N37-O37+P37)</f>
      </c>
      <c r="R37" s="21"/>
      <c r="S37" s="567">
        <f>IF(R37="","",$AX$7)</f>
      </c>
      <c r="T37" s="23">
        <f>IF(R37="","",DK37)</f>
      </c>
      <c r="U37" s="16"/>
      <c r="V37" s="16"/>
      <c r="W37" s="567">
        <f>IF(U37="","",$AX$8)</f>
      </c>
      <c r="X37" s="23">
        <f>+DM37</f>
      </c>
      <c r="Y37" s="447"/>
      <c r="Z37" s="448"/>
      <c r="AA37" s="449"/>
      <c r="AB37" s="450"/>
      <c r="AC37" s="450"/>
      <c r="AD37" s="451"/>
      <c r="AE37" s="574">
        <f>IF(AC37="","",$AX$9)</f>
      </c>
      <c r="AF37" s="574">
        <f>IF(AC37="","",$AX$10)</f>
      </c>
      <c r="AG37" s="489">
        <f>IF(AB37="","",IF(CQ37&gt;=CX37,"○","×"))</f>
      </c>
      <c r="AH37" s="490">
        <f>IF(AG37="","",ROUND(CQ37-AS37/1000-CV37,3))</f>
      </c>
      <c r="AI37" s="491">
        <f>IF(AG37="","",IF(AG37="×","×",IF(OR(AD36="",AD36=$CT$17),AG37,IF(AND(CQ37&gt;=DA36,DA36&gt;=CX37),"○","×"))))</f>
      </c>
      <c r="AJ37" s="504"/>
      <c r="AK37" s="512"/>
      <c r="AL37" s="463">
        <f>+DG37</f>
      </c>
      <c r="AM37" s="464">
        <f>+DO37</f>
      </c>
      <c r="AN37" s="25">
        <f>IF(OR(AO37="",AQ37="",AP37=""),"",DF36)</f>
      </c>
      <c r="AO37" s="24"/>
      <c r="AP37" s="19"/>
      <c r="AQ37" s="19"/>
      <c r="AR37" s="22">
        <f>IF(AO37="","",VLOOKUP(AO37,$AO$7:$AQ$12,2,0))</f>
      </c>
      <c r="AS37" s="22">
        <f>IF(AO37="","",VLOOKUP(AO37,$AO$7:$AQ$12,3,0))</f>
      </c>
      <c r="AT37" s="20">
        <f>IF(AN37="","",AN37-AQ37*AP37/100)</f>
      </c>
      <c r="AU37" s="26">
        <f>IF(DF36="","",IF(Q37&gt;=$F$18,Q37,$F$18))</f>
      </c>
      <c r="AV37" s="27">
        <f>IF(AN37="","",N37-DF36)</f>
      </c>
      <c r="AW37" s="611">
        <f>IF(AU37&gt;AV37,AU37,AV37)</f>
      </c>
      <c r="AX37" s="28">
        <f>IF(AU37="","",IF((AV37-AU37)&lt;VLOOKUP(VALUE(RIGHT(AO37,3)),$AW$16:$AX$17,2,0),"標準","ドロップ"))</f>
      </c>
      <c r="AY37" s="591">
        <f>IF(Q37="","",DH37)</f>
      </c>
      <c r="AZ37" s="602"/>
      <c r="BA37" s="20">
        <f>IF(AT37="","",AT37-AZ37)</f>
      </c>
      <c r="BB37" s="29"/>
      <c r="BC37" s="30"/>
      <c r="BD37" s="11"/>
      <c r="BE37" s="377">
        <f t="shared" si="0"/>
      </c>
      <c r="BF37" s="378">
        <f t="shared" si="0"/>
      </c>
      <c r="BG37" s="379">
        <f t="shared" si="0"/>
      </c>
      <c r="BH37" s="865">
        <f>IF(E37&lt;&gt;"",E37,"")</f>
      </c>
      <c r="BI37" s="866"/>
      <c r="BJ37" s="292">
        <f>IF(N37&lt;&gt;"",N37,"")</f>
      </c>
      <c r="BK37" s="293">
        <f>'様式１０号'!AU37</f>
      </c>
      <c r="BL37" s="294">
        <f>'様式１０号'!AV37</f>
      </c>
      <c r="BM37" s="295">
        <f>+AX37</f>
      </c>
      <c r="BN37" s="296">
        <f>'様式１０号'!AY37</f>
      </c>
      <c r="BO37" s="297">
        <f>'様式１０号'!AN37</f>
      </c>
      <c r="BP37" s="298">
        <f>IF(AO37&lt;&gt;"",AO37,"")</f>
      </c>
      <c r="BQ37" s="299">
        <f>IF(AQ37&lt;&gt;"",AQ37,"")</f>
      </c>
      <c r="BR37" s="299">
        <f>IF(AP37&lt;&gt;"",AP37,"")</f>
      </c>
      <c r="BS37" s="300">
        <f>IF(BO37="","",BO37-BQ37*BR37/100)</f>
      </c>
      <c r="BT37" s="301">
        <f>IF(R37&lt;&gt;"",R37,"")</f>
      </c>
      <c r="BU37" s="302">
        <v>0.5</v>
      </c>
      <c r="BV37" s="297">
        <f>IF(BO37="","",ROUND(BO37-BU37*BR37/100,3))</f>
      </c>
      <c r="BW37" s="303">
        <v>0.1</v>
      </c>
      <c r="BX37" s="304">
        <f>IF(OR(BV37="",CH37="簡易推進"),"",ROUND(BT37-BV37+BW37,2))</f>
      </c>
      <c r="BY37" s="305"/>
      <c r="BZ37" s="306">
        <f>IF(BX37="","",IF(AND(BX37&lt;=1.5,BY37=""),"",IF(BX37+0.2&lt;=1.5,1.5,IF(BX37+0.2&lt;=2,2,IF(BX37+0.2&lt;=2.5,2.5)))))</f>
      </c>
      <c r="CA37" s="307"/>
      <c r="CB37" s="308">
        <f>IF(BZ37="","",IF(BX37&lt;=$CB$26,CA37,""))</f>
      </c>
      <c r="CC37" s="309">
        <f>IF(BZ37="","",IF(AND(BX37&gt;$CB$26,BX37&lt;=$CC$26),CA37,""))</f>
      </c>
      <c r="CD37" s="310">
        <f>IF(BZ37="","",IF(BX37&lt;=$CC$26,"",IF(AND(BX37&gt;$CC$26,BX37&lt;=$CD$26),CA37,"")))</f>
      </c>
      <c r="CE37" s="311"/>
      <c r="CF37" s="312"/>
      <c r="CG37" s="313"/>
      <c r="CH37" s="314"/>
      <c r="CI37" s="315"/>
      <c r="CK37" s="415">
        <f>E37</f>
        <v>0</v>
      </c>
      <c r="CL37" s="182"/>
      <c r="CM37" s="316">
        <f>IF(O37="","",O37-P37)</f>
      </c>
      <c r="CN37" s="317">
        <f>IF(O37="","",N37-CN36)</f>
      </c>
      <c r="CO37" s="317">
        <f>IF(AO37="","",IF(R37="","",R37-CO36-AS37/1000-AR37/1000))</f>
      </c>
      <c r="CP37" s="318">
        <f>IF(U37="","",U37-CP36-AS37/1000-AR37/1000+V37*AP37/100)</f>
      </c>
      <c r="CQ37" s="319">
        <f>IF(O37="","",MIN(CM37,CN37,CO37,CP37))</f>
      </c>
      <c r="CR37" s="390">
        <f>IF(Y37="","",Y37)</f>
      </c>
      <c r="CS37" s="320">
        <f>IF(OR(AA37="",AB37="",AC37="",AQ37&lt;AB37),"",IF(Z37="土被り",R37-AA37-AC37,IF(Z37="標高",AA37)))</f>
      </c>
      <c r="CT37" s="468">
        <f>IF(CS37="","",CS37+AC37)</f>
      </c>
      <c r="CU37" s="469">
        <f>IF(CS37="","",CS37+AB37*AP37/100)</f>
      </c>
      <c r="CV37" s="321">
        <f>IF(CT37="","",CT37+AB37*AP37/100)</f>
      </c>
      <c r="CW37" s="459">
        <f>AE37</f>
      </c>
      <c r="CX37" s="322">
        <f>IF(CS37="","",CV37+CW37+AS37/1000)</f>
      </c>
      <c r="CY37" s="460">
        <f>AF37</f>
      </c>
      <c r="CZ37" s="323">
        <f>IF(CS37="","",CU37-CY37-AS37/1000-AR37/1000)</f>
      </c>
      <c r="DA37" s="324">
        <f>IF(CS37="","",IF(OR(AD37=$CT$17,AND(CW37=0,CY37=0)),"",IF(CQ37&gt;=CX37,CQ37,MIN(CQ37,CZ37))))</f>
      </c>
      <c r="DB37" s="407">
        <f>IF(CU37="","",IF(CQ37&gt;=CX37,"○","×"))</f>
      </c>
      <c r="DC37" s="407">
        <f>IF(DA36="",DB37,IF(DB37="×","×",IF(AND(CW37=0,CY37=0),"○",IF(AND(CQ37&gt;=DA36,DA36&gt;=CX37),"○","×"))))</f>
      </c>
      <c r="DD37" s="475">
        <f>IF(AD37="","",AD37)</f>
      </c>
      <c r="DE37" s="325"/>
      <c r="DF37" s="326"/>
      <c r="DG37" s="322">
        <f>IF(CS37="","",IF(AND(CW37=0,CY37=0),"無視",IF(DF36&gt;=CU37,"上越し","下越し")))</f>
      </c>
      <c r="DH37" s="325" t="str">
        <f>IF(DF36=CQ37,CQ36,IF(CZ37=DF36,CR37&amp;DG37,CR36&amp;DG36))</f>
        <v>宅内配管</v>
      </c>
      <c r="DI37" s="327"/>
      <c r="DJ37" s="11"/>
      <c r="DK37" s="328">
        <f>IF(AN37="","",R37-DF36-AR37/1000-AS37/1000)</f>
      </c>
      <c r="DL37" s="254">
        <f>IF(U37="","",DF36-V37*AP37/100)</f>
      </c>
      <c r="DM37" s="329">
        <f>IF(U37="","",U37-DL37-AR37/1000-AS37/1000)</f>
      </c>
      <c r="DN37" s="254">
        <f>IF(CS37="","",DF36-AB37*AP37/100)</f>
      </c>
      <c r="DO37" s="330">
        <f>IF(CS37="","",IF(CS37&gt;=DN37,CS37-DN37-AR37/1000-AS37/1000,DN37-CT37-AS37/1000))</f>
      </c>
      <c r="DP37" s="331">
        <f>IF(CS36="","",DF36-AB36*AP37/100)</f>
      </c>
      <c r="DQ37" s="332">
        <f>IF(CS36="","",IF(CS36&gt;=DP37,CS36-DP37-AR37/1000-AS37/1000,DP37-CT36-AS37/1000))</f>
      </c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</row>
    <row r="38" spans="1:148" ht="15" customHeight="1">
      <c r="A38" s="168"/>
      <c r="B38" s="31"/>
      <c r="C38" s="32"/>
      <c r="D38" s="33"/>
      <c r="E38" s="34"/>
      <c r="F38" s="35"/>
      <c r="G38" s="6"/>
      <c r="H38" s="7"/>
      <c r="I38" s="8"/>
      <c r="J38" s="7"/>
      <c r="K38" s="36"/>
      <c r="L38" s="36"/>
      <c r="M38" s="12"/>
      <c r="N38" s="9"/>
      <c r="O38" s="7"/>
      <c r="P38" s="37"/>
      <c r="Q38" s="411"/>
      <c r="R38" s="9"/>
      <c r="S38" s="13"/>
      <c r="T38" s="7"/>
      <c r="U38" s="7"/>
      <c r="V38" s="7"/>
      <c r="W38" s="7"/>
      <c r="X38" s="7"/>
      <c r="Y38" s="38"/>
      <c r="Z38" s="8"/>
      <c r="AA38" s="13"/>
      <c r="AB38" s="7"/>
      <c r="AC38" s="7"/>
      <c r="AD38" s="7"/>
      <c r="AE38" s="37"/>
      <c r="AF38" s="37"/>
      <c r="AG38" s="493"/>
      <c r="AH38" s="494"/>
      <c r="AI38" s="493"/>
      <c r="AJ38" s="495"/>
      <c r="AK38" s="513"/>
      <c r="AL38" s="102"/>
      <c r="AM38" s="418"/>
      <c r="AN38" s="9"/>
      <c r="AO38" s="7"/>
      <c r="AP38" s="36"/>
      <c r="AQ38" s="7"/>
      <c r="AR38" s="7"/>
      <c r="AS38" s="7"/>
      <c r="AT38" s="12"/>
      <c r="AU38" s="39"/>
      <c r="AV38" s="40"/>
      <c r="AW38" s="612"/>
      <c r="AX38" s="38"/>
      <c r="AY38" s="592"/>
      <c r="AZ38" s="600"/>
      <c r="BA38" s="589"/>
      <c r="BB38" s="6"/>
      <c r="BC38" s="14"/>
      <c r="BD38" s="11"/>
      <c r="BE38" s="333"/>
      <c r="BF38" s="334"/>
      <c r="BG38" s="335"/>
      <c r="BH38" s="336"/>
      <c r="BI38" s="337"/>
      <c r="BJ38" s="258"/>
      <c r="BK38" s="338"/>
      <c r="BL38" s="339"/>
      <c r="BM38" s="200"/>
      <c r="BN38" s="261"/>
      <c r="BO38" s="259"/>
      <c r="BP38" s="262"/>
      <c r="BQ38" s="262"/>
      <c r="BR38" s="340"/>
      <c r="BS38" s="264"/>
      <c r="BT38" s="259"/>
      <c r="BU38" s="264"/>
      <c r="BV38" s="259"/>
      <c r="BW38" s="260"/>
      <c r="BX38" s="200"/>
      <c r="BY38" s="341"/>
      <c r="BZ38" s="267"/>
      <c r="CA38" s="268"/>
      <c r="CB38" s="269"/>
      <c r="CC38" s="270"/>
      <c r="CD38" s="271"/>
      <c r="CE38" s="272"/>
      <c r="CF38" s="270"/>
      <c r="CG38" s="267"/>
      <c r="CH38" s="273"/>
      <c r="CI38" s="83"/>
      <c r="CL38" s="182"/>
      <c r="CM38" s="343"/>
      <c r="CN38" s="344"/>
      <c r="CO38" s="344"/>
      <c r="CP38" s="344"/>
      <c r="CQ38" s="344"/>
      <c r="CR38" s="391"/>
      <c r="CS38" s="344"/>
      <c r="CT38" s="470"/>
      <c r="CU38" s="471"/>
      <c r="CV38" s="344"/>
      <c r="CW38" s="345"/>
      <c r="CX38" s="344"/>
      <c r="CY38" s="344"/>
      <c r="CZ38" s="346"/>
      <c r="DA38" s="344"/>
      <c r="DB38" s="408"/>
      <c r="DC38" s="408"/>
      <c r="DD38" s="408"/>
      <c r="DE38" s="344"/>
      <c r="DF38" s="344"/>
      <c r="DG38" s="344"/>
      <c r="DH38" s="344"/>
      <c r="DI38" s="347"/>
      <c r="DJ38" s="11"/>
      <c r="DK38" s="343"/>
      <c r="DL38" s="345"/>
      <c r="DM38" s="346"/>
      <c r="DN38" s="345"/>
      <c r="DO38" s="346"/>
      <c r="DP38" s="344"/>
      <c r="DQ38" s="347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</row>
    <row r="39" spans="1:148" ht="15" customHeight="1" thickBot="1">
      <c r="A39" s="168"/>
      <c r="B39" s="41"/>
      <c r="C39" s="42"/>
      <c r="D39" s="43"/>
      <c r="E39" s="44"/>
      <c r="F39" s="45"/>
      <c r="G39" s="46"/>
      <c r="H39" s="47"/>
      <c r="I39" s="48"/>
      <c r="J39" s="47"/>
      <c r="K39" s="49"/>
      <c r="L39" s="49"/>
      <c r="M39" s="50"/>
      <c r="N39" s="51"/>
      <c r="O39" s="47"/>
      <c r="P39" s="52"/>
      <c r="Q39" s="412"/>
      <c r="R39" s="51"/>
      <c r="S39" s="54"/>
      <c r="T39" s="47"/>
      <c r="U39" s="47"/>
      <c r="V39" s="47"/>
      <c r="W39" s="47"/>
      <c r="X39" s="47"/>
      <c r="Y39" s="53"/>
      <c r="Z39" s="48"/>
      <c r="AA39" s="54"/>
      <c r="AB39" s="47"/>
      <c r="AC39" s="47"/>
      <c r="AD39" s="47"/>
      <c r="AE39" s="52"/>
      <c r="AF39" s="52"/>
      <c r="AG39" s="496"/>
      <c r="AH39" s="497"/>
      <c r="AI39" s="496"/>
      <c r="AJ39" s="498"/>
      <c r="AK39" s="514"/>
      <c r="AL39" s="162"/>
      <c r="AM39" s="419"/>
      <c r="AN39" s="51"/>
      <c r="AO39" s="47"/>
      <c r="AP39" s="49"/>
      <c r="AQ39" s="47"/>
      <c r="AR39" s="47"/>
      <c r="AS39" s="47"/>
      <c r="AT39" s="50"/>
      <c r="AU39" s="55"/>
      <c r="AV39" s="56"/>
      <c r="AW39" s="613"/>
      <c r="AX39" s="53"/>
      <c r="AY39" s="593"/>
      <c r="AZ39" s="601"/>
      <c r="BA39" s="590"/>
      <c r="BB39" s="46"/>
      <c r="BC39" s="57"/>
      <c r="BD39" s="11"/>
      <c r="BE39" s="348"/>
      <c r="BF39" s="349"/>
      <c r="BG39" s="350"/>
      <c r="BH39" s="380"/>
      <c r="BI39" s="381"/>
      <c r="BJ39" s="353"/>
      <c r="BK39" s="354"/>
      <c r="BL39" s="355"/>
      <c r="BM39" s="356"/>
      <c r="BN39" s="357"/>
      <c r="BO39" s="358"/>
      <c r="BP39" s="359"/>
      <c r="BQ39" s="359"/>
      <c r="BR39" s="360"/>
      <c r="BS39" s="361"/>
      <c r="BT39" s="358"/>
      <c r="BU39" s="361"/>
      <c r="BV39" s="358"/>
      <c r="BW39" s="362"/>
      <c r="BX39" s="356"/>
      <c r="BY39" s="363"/>
      <c r="BZ39" s="364"/>
      <c r="CA39" s="365"/>
      <c r="CB39" s="366"/>
      <c r="CC39" s="367"/>
      <c r="CD39" s="368"/>
      <c r="CE39" s="382"/>
      <c r="CF39" s="367"/>
      <c r="CG39" s="364"/>
      <c r="CH39" s="370"/>
      <c r="CI39" s="371"/>
      <c r="CL39" s="182"/>
      <c r="CM39" s="372"/>
      <c r="CN39" s="373"/>
      <c r="CO39" s="373"/>
      <c r="CP39" s="373"/>
      <c r="CQ39" s="373"/>
      <c r="CR39" s="392"/>
      <c r="CS39" s="373"/>
      <c r="CT39" s="472"/>
      <c r="CU39" s="473"/>
      <c r="CV39" s="373"/>
      <c r="CW39" s="374"/>
      <c r="CX39" s="373"/>
      <c r="CY39" s="373"/>
      <c r="CZ39" s="375"/>
      <c r="DA39" s="373"/>
      <c r="DB39" s="409"/>
      <c r="DC39" s="409"/>
      <c r="DD39" s="409"/>
      <c r="DE39" s="373"/>
      <c r="DF39" s="373"/>
      <c r="DG39" s="373"/>
      <c r="DH39" s="373"/>
      <c r="DI39" s="376"/>
      <c r="DJ39" s="11"/>
      <c r="DK39" s="372"/>
      <c r="DL39" s="374"/>
      <c r="DM39" s="375"/>
      <c r="DN39" s="374"/>
      <c r="DO39" s="375"/>
      <c r="DP39" s="373"/>
      <c r="DQ39" s="376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</row>
    <row r="40" spans="1:148" ht="15" customHeight="1" thickBot="1">
      <c r="A40" s="168"/>
      <c r="B40" s="867">
        <f>IF(E41="","",B36)</f>
      </c>
      <c r="C40" s="868"/>
      <c r="D40" s="869"/>
      <c r="E40" s="870"/>
      <c r="F40" s="871"/>
      <c r="G40" s="6"/>
      <c r="H40" s="7"/>
      <c r="I40" s="8"/>
      <c r="J40" s="439"/>
      <c r="K40" s="440"/>
      <c r="L40" s="440"/>
      <c r="M40" s="441">
        <f>IF(J40="","",ROUND(J40-K40*L40/100,3))</f>
      </c>
      <c r="N40" s="9"/>
      <c r="O40" s="7"/>
      <c r="P40" s="7"/>
      <c r="Q40" s="411"/>
      <c r="R40" s="9"/>
      <c r="S40" s="13"/>
      <c r="T40" s="7"/>
      <c r="U40" s="7"/>
      <c r="V40" s="7"/>
      <c r="W40" s="7"/>
      <c r="X40" s="7"/>
      <c r="Y40" s="452"/>
      <c r="Z40" s="453"/>
      <c r="AA40" s="454"/>
      <c r="AB40" s="455"/>
      <c r="AC40" s="455"/>
      <c r="AD40" s="456"/>
      <c r="AE40" s="575">
        <f>IF(AC40="","",$AX$9)</f>
      </c>
      <c r="AF40" s="575">
        <f>IF(AC40="","",$AX$10)</f>
      </c>
      <c r="AG40" s="499">
        <f>IF(AB40="","",IF(CQ41&gt;=CX40,"○","×"))</f>
      </c>
      <c r="AH40" s="500">
        <f>IF(AG40="","",ROUND(CQ41-AS41/1000-CV40,3))</f>
      </c>
      <c r="AI40" s="501">
        <f>IF(AG40="","",IF(AG40="×","×",IF(OR(AD41="",AD41=$CT$17),AG40,IF(AND(CQ40&gt;=DA41,DA41&gt;=CX40),"○","×"))))</f>
      </c>
      <c r="AJ40" s="503"/>
      <c r="AK40" s="515"/>
      <c r="AL40" s="465">
        <f>+DG40</f>
      </c>
      <c r="AM40" s="466">
        <f>+DQ41</f>
      </c>
      <c r="AN40" s="9"/>
      <c r="AO40" s="7"/>
      <c r="AP40" s="10"/>
      <c r="AQ40" s="7"/>
      <c r="AR40" s="11"/>
      <c r="AS40" s="11"/>
      <c r="AT40" s="12"/>
      <c r="AU40" s="9"/>
      <c r="AV40" s="13"/>
      <c r="AW40" s="614"/>
      <c r="AX40" s="38"/>
      <c r="AY40" s="592"/>
      <c r="AZ40" s="600"/>
      <c r="BA40" s="589"/>
      <c r="BB40" s="6"/>
      <c r="BC40" s="14"/>
      <c r="BD40" s="11"/>
      <c r="BE40" s="872">
        <f aca="true" t="shared" si="1" ref="BE40:BG41">IF(B40&lt;&gt;"",B40,"")</f>
      </c>
      <c r="BF40" s="873"/>
      <c r="BG40" s="874"/>
      <c r="BH40" s="875">
        <f>IF(E40&lt;&gt;"",E40,"")</f>
      </c>
      <c r="BI40" s="876"/>
      <c r="BJ40" s="258"/>
      <c r="BK40" s="259"/>
      <c r="BL40" s="260"/>
      <c r="BM40" s="200"/>
      <c r="BN40" s="261"/>
      <c r="BO40" s="259"/>
      <c r="BP40" s="262"/>
      <c r="BQ40" s="262"/>
      <c r="BR40" s="263"/>
      <c r="BS40" s="264"/>
      <c r="BT40" s="265"/>
      <c r="BU40" s="266"/>
      <c r="BV40" s="259"/>
      <c r="BW40" s="260"/>
      <c r="BX40" s="200"/>
      <c r="BY40" s="341"/>
      <c r="BZ40" s="267"/>
      <c r="CA40" s="268"/>
      <c r="CB40" s="269"/>
      <c r="CC40" s="270"/>
      <c r="CD40" s="271"/>
      <c r="CE40" s="272"/>
      <c r="CF40" s="270"/>
      <c r="CG40" s="267"/>
      <c r="CH40" s="273"/>
      <c r="CI40" s="83"/>
      <c r="CL40" s="182"/>
      <c r="CM40" s="274"/>
      <c r="CN40" s="275">
        <f>$F$18</f>
        <v>0.85</v>
      </c>
      <c r="CO40" s="587">
        <f>S41</f>
      </c>
      <c r="CP40" s="276">
        <f>W41</f>
      </c>
      <c r="CQ40" s="277" t="str">
        <f>INDEX($CM$24:$CP$24,1,MATCH(CQ41,CM41:CP41,0))</f>
        <v>宅内配管</v>
      </c>
      <c r="CR40" s="389">
        <f>IF(Y40="","",Y40)</f>
      </c>
      <c r="CS40" s="278">
        <f>IF(OR(AA40="",AB40="",AC40="",AQ41&lt;AB40),"",IF(Z40="土被り",R41-AA40-AC40,IF(Z40="標高",AA40)))</f>
      </c>
      <c r="CT40" s="467">
        <f>IF(CS40="","",CS40+AC40)</f>
      </c>
      <c r="CU40" s="474">
        <f>IF(CS40="","",CS40+AB40*AP41/100)</f>
      </c>
      <c r="CV40" s="279">
        <f>IF(CT40="","",CT40+AB40*AP41/100)</f>
      </c>
      <c r="CW40" s="457">
        <f>AE40</f>
      </c>
      <c r="CX40" s="280">
        <f>IF(CS40="","",CV40+CW40+AS41/1000)</f>
      </c>
      <c r="CY40" s="458">
        <f>AF40</f>
      </c>
      <c r="CZ40" s="281">
        <f>IF(CS40="","",CU40-CY40-AS41/1000-AR41/1000)</f>
      </c>
      <c r="DA40" s="282">
        <f>IF(CS40="","",IF(OR(AND(CW40=0,CY40=0),AD40=$CT$17),"",IF(CQ41&gt;=CX40,CQ41,MIN(CQ41,CZ40))))</f>
      </c>
      <c r="DB40" s="406">
        <f>IF(CU40="","",IF(CQ41&gt;=CX40,"○","×"))</f>
      </c>
      <c r="DC40" s="406">
        <f>IF(DB40="","",IF(DB40="×","×",IF(AND(CW40=0,CY40=0),"○",IF(AND(CQ41&gt;=DA41,DA41&gt;=CX40),"○","×"))))</f>
      </c>
      <c r="DD40" s="475">
        <f>IF(AD40="","",AD40)</f>
      </c>
      <c r="DE40" s="283">
        <f>IF(AND(DA41="",DA40=""),"",MIN(DA41,DA40))</f>
      </c>
      <c r="DF40" s="284">
        <f>IF(DE40="",CQ41,IF(DA40="",DE40,IF(DA41="",DE40,IF(AND(DC40="×",DC41="×"),MIN(CZ41,CZ40,DA41,DA40),IF(DE40=DA41,IF(DC41="○",DA40,DA41),IF(DE40=DA40,IF(DC40="○",DA41,DA40)))))))</f>
      </c>
      <c r="DG40" s="285">
        <f>IF(CS40="","",IF(AND(CW40=0,CY40=0),"無視",IF(DF40&gt;=CU40,"上越し","下越し")))</f>
      </c>
      <c r="DH40" s="286"/>
      <c r="DI40" s="287"/>
      <c r="DJ40" s="11"/>
      <c r="DK40" s="218" t="s">
        <v>60</v>
      </c>
      <c r="DL40" s="288" t="s">
        <v>16</v>
      </c>
      <c r="DM40" s="289" t="s">
        <v>61</v>
      </c>
      <c r="DN40" s="288" t="s">
        <v>16</v>
      </c>
      <c r="DO40" s="289"/>
      <c r="DP40" s="290"/>
      <c r="DQ40" s="291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</row>
    <row r="41" spans="1:148" ht="15" customHeight="1" thickBot="1">
      <c r="A41" s="168"/>
      <c r="B41" s="58"/>
      <c r="C41" s="59"/>
      <c r="D41" s="588"/>
      <c r="E41" s="863"/>
      <c r="F41" s="864"/>
      <c r="G41" s="15">
        <f>$F$6</f>
        <v>0.1</v>
      </c>
      <c r="H41" s="16"/>
      <c r="I41" s="17">
        <f>IF(H41="","",IF(K41&lt;50,$I$8,IF(K41&lt;120,$I$9,$I$10)))</f>
      </c>
      <c r="J41" s="435">
        <f>IF(H41="","",H41-I41-G41)</f>
      </c>
      <c r="K41" s="436"/>
      <c r="L41" s="437">
        <f>IF(K41="","",IF(K41&lt;50,$I$12,IF(K41&lt;120,$I$13,$I$14)))</f>
      </c>
      <c r="M41" s="438">
        <f>IF(K41="","",ROUND(H41-I41-G41-K41*L41/100,3))</f>
      </c>
      <c r="N41" s="21"/>
      <c r="O41" s="18">
        <f>IF(AND(M41="",M40=""),"",MIN(M41,M40))</f>
      </c>
      <c r="P41" s="22">
        <f>IF(N41="","",$F$16)</f>
      </c>
      <c r="Q41" s="410">
        <f>IF(N41="","",N41-O41+P41)</f>
      </c>
      <c r="R41" s="21"/>
      <c r="S41" s="567">
        <f>IF(R41="","",$AX$7)</f>
      </c>
      <c r="T41" s="23">
        <f>IF(R41="","",DK41)</f>
      </c>
      <c r="U41" s="16"/>
      <c r="V41" s="16"/>
      <c r="W41" s="567">
        <f>IF(U41="","",$AX$8)</f>
      </c>
      <c r="X41" s="23">
        <f>+DM41</f>
      </c>
      <c r="Y41" s="447"/>
      <c r="Z41" s="448"/>
      <c r="AA41" s="449"/>
      <c r="AB41" s="450"/>
      <c r="AC41" s="450"/>
      <c r="AD41" s="451"/>
      <c r="AE41" s="574">
        <f>IF(AC41="","",$AX$9)</f>
      </c>
      <c r="AF41" s="574">
        <f>IF(AC41="","",$AX$10)</f>
      </c>
      <c r="AG41" s="489">
        <f>IF(AB41="","",IF(CQ41&gt;=CX41,"○","×"))</f>
      </c>
      <c r="AH41" s="490">
        <f>IF(AG41="","",ROUND(CQ41-AS41/1000-CV41,3))</f>
      </c>
      <c r="AI41" s="491">
        <f>IF(AG41="","",IF(AG41="×","×",IF(OR(AD40="",AD40=$CT$17),AG41,IF(AND(CQ41&gt;=DA40,DA40&gt;=CX41),"○","×"))))</f>
      </c>
      <c r="AJ41" s="504"/>
      <c r="AK41" s="512"/>
      <c r="AL41" s="463">
        <f>+DG41</f>
      </c>
      <c r="AM41" s="464">
        <f>+DO41</f>
      </c>
      <c r="AN41" s="25">
        <f>IF(OR(AO41="",AQ41="",AP41=""),"",DF40)</f>
      </c>
      <c r="AO41" s="24"/>
      <c r="AP41" s="19"/>
      <c r="AQ41" s="19"/>
      <c r="AR41" s="22">
        <f>IF(AO41="","",VLOOKUP(AO41,$AO$7:$AQ$12,2,0))</f>
      </c>
      <c r="AS41" s="22">
        <f>IF(AO41="","",VLOOKUP(AO41,$AO$7:$AQ$12,3,0))</f>
      </c>
      <c r="AT41" s="20">
        <f>IF(AN41="","",AN41-AQ41*AP41/100)</f>
      </c>
      <c r="AU41" s="26">
        <f>IF(DF40="","",IF(Q41&gt;=$F$18,Q41,$F$18))</f>
      </c>
      <c r="AV41" s="27">
        <f>IF(AN41="","",N41-DF40)</f>
      </c>
      <c r="AW41" s="611">
        <f>IF(AU41&gt;AV41,AU41,AV41)</f>
      </c>
      <c r="AX41" s="28">
        <f>IF(AU41="","",IF((AV41-AU41)&lt;VLOOKUP(VALUE(RIGHT(AO41,3)),$AW$16:$AX$17,2,0),"標準","ドロップ"))</f>
      </c>
      <c r="AY41" s="591">
        <f>IF(Q41="","",DH41)</f>
      </c>
      <c r="AZ41" s="602"/>
      <c r="BA41" s="20">
        <f>IF(AT41="","",AT41-AZ41)</f>
      </c>
      <c r="BB41" s="29"/>
      <c r="BC41" s="30"/>
      <c r="BD41" s="11"/>
      <c r="BE41" s="377">
        <f t="shared" si="1"/>
      </c>
      <c r="BF41" s="378">
        <f t="shared" si="1"/>
      </c>
      <c r="BG41" s="379">
        <f t="shared" si="1"/>
      </c>
      <c r="BH41" s="865">
        <f>IF(E41&lt;&gt;"",E41,"")</f>
      </c>
      <c r="BI41" s="866"/>
      <c r="BJ41" s="292">
        <f>IF(N41&lt;&gt;"",N41,"")</f>
      </c>
      <c r="BK41" s="293">
        <f>'様式１０号'!AU41</f>
      </c>
      <c r="BL41" s="294">
        <f>'様式１０号'!AV41</f>
      </c>
      <c r="BM41" s="295">
        <f>+AX41</f>
      </c>
      <c r="BN41" s="296">
        <f>'様式１０号'!AY41</f>
      </c>
      <c r="BO41" s="297">
        <f>'様式１０号'!AN41</f>
      </c>
      <c r="BP41" s="298">
        <f>IF(AO41&lt;&gt;"",AO41,"")</f>
      </c>
      <c r="BQ41" s="299">
        <f>IF(AQ41&lt;&gt;"",AQ41,"")</f>
      </c>
      <c r="BR41" s="299">
        <f>IF(AP41&lt;&gt;"",AP41,"")</f>
      </c>
      <c r="BS41" s="300">
        <f>IF(BO41="","",BO41-BQ41*BR41/100)</f>
      </c>
      <c r="BT41" s="301">
        <f>IF(R41&lt;&gt;"",R41,"")</f>
      </c>
      <c r="BU41" s="302">
        <v>0.5</v>
      </c>
      <c r="BV41" s="297">
        <f>IF(BO41="","",ROUND(BO41-BU41*BR41/100,3))</f>
      </c>
      <c r="BW41" s="303">
        <v>0.1</v>
      </c>
      <c r="BX41" s="304">
        <f>IF(OR(BV41="",CH41="簡易推進"),"",ROUND(BT41-BV41+BW41,2))</f>
      </c>
      <c r="BY41" s="305"/>
      <c r="BZ41" s="306">
        <f>IF(BX41="","",IF(AND(BX41&lt;=1.5,BY41=""),"",IF(BX41+0.2&lt;=1.5,1.5,IF(BX41+0.2&lt;=2,2,IF(BX41+0.2&lt;=2.5,2.5)))))</f>
      </c>
      <c r="CA41" s="307"/>
      <c r="CB41" s="308">
        <f>IF(BZ41="","",IF(BX41&lt;=$CB$26,CA41,""))</f>
      </c>
      <c r="CC41" s="309">
        <f>IF(BZ41="","",IF(AND(BX41&gt;$CB$26,BX41&lt;=$CC$26),CA41,""))</f>
      </c>
      <c r="CD41" s="310">
        <f>IF(BZ41="","",IF(BX41&lt;=$CC$26,"",IF(AND(BX41&gt;$CC$26,BX41&lt;=$CD$26),CA41,"")))</f>
      </c>
      <c r="CE41" s="311"/>
      <c r="CF41" s="312"/>
      <c r="CG41" s="313"/>
      <c r="CH41" s="314"/>
      <c r="CI41" s="315"/>
      <c r="CK41" s="415">
        <f>E41</f>
        <v>0</v>
      </c>
      <c r="CL41" s="182"/>
      <c r="CM41" s="316">
        <f>IF(O41="","",O41-P41)</f>
      </c>
      <c r="CN41" s="317">
        <f>IF(O41="","",N41-CN40)</f>
      </c>
      <c r="CO41" s="317">
        <f>IF(AO41="","",IF(R41="","",R41-CO40-AS41/1000-AR41/1000))</f>
      </c>
      <c r="CP41" s="318">
        <f>IF(U41="","",U41-CP40-AS41/1000-AR41/1000+V41*AP41/100)</f>
      </c>
      <c r="CQ41" s="319">
        <f>IF(O41="","",MIN(CM41,CN41,CO41,CP41))</f>
      </c>
      <c r="CR41" s="390">
        <f>IF(Y41="","",Y41)</f>
      </c>
      <c r="CS41" s="320">
        <f>IF(OR(AA41="",AB41="",AC41="",AQ41&lt;AB41),"",IF(Z41="土被り",R41-AA41-AC41,IF(Z41="標高",AA41)))</f>
      </c>
      <c r="CT41" s="468">
        <f>IF(CS41="","",CS41+AC41)</f>
      </c>
      <c r="CU41" s="469">
        <f>IF(CS41="","",CS41+AB41*AP41/100)</f>
      </c>
      <c r="CV41" s="321">
        <f>IF(CT41="","",CT41+AB41*AP41/100)</f>
      </c>
      <c r="CW41" s="459">
        <f>AE41</f>
      </c>
      <c r="CX41" s="322">
        <f>IF(CS41="","",CV41+CW41+AS41/1000)</f>
      </c>
      <c r="CY41" s="460">
        <f>AF41</f>
      </c>
      <c r="CZ41" s="323">
        <f>IF(CS41="","",CU41-CY41-AS41/1000-AR41/1000)</f>
      </c>
      <c r="DA41" s="324">
        <f>IF(CS41="","",IF(OR(AD41=$CT$17,AND(CW41=0,CY41=0)),"",IF(CQ41&gt;=CX41,CQ41,MIN(CQ41,CZ41))))</f>
      </c>
      <c r="DB41" s="407">
        <f>IF(CU41="","",IF(CQ41&gt;=CX41,"○","×"))</f>
      </c>
      <c r="DC41" s="407">
        <f>IF(DA40="",DB41,IF(DB41="×","×",IF(AND(CW41=0,CY41=0),"○",IF(AND(CQ41&gt;=DA40,DA40&gt;=CX41),"○","×"))))</f>
      </c>
      <c r="DD41" s="475">
        <f>IF(AD41="","",AD41)</f>
      </c>
      <c r="DE41" s="325"/>
      <c r="DF41" s="326"/>
      <c r="DG41" s="322">
        <f>IF(CS41="","",IF(AND(CW41=0,CY41=0),"無視",IF(DF40&gt;=CU41,"上越し","下越し")))</f>
      </c>
      <c r="DH41" s="325" t="str">
        <f>IF(DF40=CQ41,CQ40,IF(CZ41=DF40,CR41&amp;DG41,CR40&amp;DG40))</f>
        <v>宅内配管</v>
      </c>
      <c r="DI41" s="327"/>
      <c r="DJ41" s="11"/>
      <c r="DK41" s="328">
        <f>IF(AN41="","",R41-DF40-AR41/1000-AS41/1000)</f>
      </c>
      <c r="DL41" s="254">
        <f>IF(U41="","",DF40-V41*AP41/100)</f>
      </c>
      <c r="DM41" s="329">
        <f>IF(U41="","",U41-DL41-AR41/1000-AS41/1000)</f>
      </c>
      <c r="DN41" s="254">
        <f>IF(CS41="","",DF40-AB41*AP41/100)</f>
      </c>
      <c r="DO41" s="330">
        <f>IF(CS41="","",IF(CS41&gt;=DN41,CS41-DN41-AR41/1000-AS41/1000,DN41-CT41-AS41/1000))</f>
      </c>
      <c r="DP41" s="331">
        <f>IF(CS40="","",DF40-AB40*AP41/100)</f>
      </c>
      <c r="DQ41" s="332">
        <f>IF(CS40="","",IF(CS40&gt;=DP41,CS40-DP41-AR41/1000-AS41/1000,DP41-CT40-AS41/1000))</f>
      </c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</row>
    <row r="42" spans="1:148" ht="15" customHeight="1">
      <c r="A42" s="168"/>
      <c r="B42" s="31"/>
      <c r="C42" s="32"/>
      <c r="D42" s="33"/>
      <c r="E42" s="34"/>
      <c r="F42" s="35"/>
      <c r="G42" s="6"/>
      <c r="H42" s="7"/>
      <c r="I42" s="8"/>
      <c r="J42" s="7"/>
      <c r="K42" s="36"/>
      <c r="L42" s="36"/>
      <c r="M42" s="12"/>
      <c r="N42" s="9"/>
      <c r="O42" s="7"/>
      <c r="P42" s="37"/>
      <c r="Q42" s="411"/>
      <c r="R42" s="9"/>
      <c r="S42" s="13"/>
      <c r="T42" s="7"/>
      <c r="U42" s="7"/>
      <c r="V42" s="7"/>
      <c r="W42" s="7"/>
      <c r="X42" s="7"/>
      <c r="Y42" s="38"/>
      <c r="Z42" s="8"/>
      <c r="AA42" s="13"/>
      <c r="AB42" s="7"/>
      <c r="AC42" s="7"/>
      <c r="AD42" s="7"/>
      <c r="AE42" s="37"/>
      <c r="AF42" s="37"/>
      <c r="AG42" s="493"/>
      <c r="AH42" s="494"/>
      <c r="AI42" s="493"/>
      <c r="AJ42" s="495"/>
      <c r="AK42" s="513"/>
      <c r="AL42" s="102"/>
      <c r="AM42" s="418"/>
      <c r="AN42" s="9"/>
      <c r="AO42" s="7"/>
      <c r="AP42" s="36"/>
      <c r="AQ42" s="7"/>
      <c r="AR42" s="7"/>
      <c r="AS42" s="7"/>
      <c r="AT42" s="12"/>
      <c r="AU42" s="39"/>
      <c r="AV42" s="40"/>
      <c r="AW42" s="612"/>
      <c r="AX42" s="38"/>
      <c r="AY42" s="592"/>
      <c r="AZ42" s="600"/>
      <c r="BA42" s="589"/>
      <c r="BB42" s="6"/>
      <c r="BC42" s="14"/>
      <c r="BD42" s="11"/>
      <c r="BE42" s="333"/>
      <c r="BF42" s="334"/>
      <c r="BG42" s="335"/>
      <c r="BH42" s="336"/>
      <c r="BI42" s="337"/>
      <c r="BJ42" s="258"/>
      <c r="BK42" s="338"/>
      <c r="BL42" s="339"/>
      <c r="BM42" s="200"/>
      <c r="BN42" s="261"/>
      <c r="BO42" s="259"/>
      <c r="BP42" s="262"/>
      <c r="BQ42" s="262"/>
      <c r="BR42" s="340"/>
      <c r="BS42" s="264"/>
      <c r="BT42" s="259"/>
      <c r="BU42" s="264"/>
      <c r="BV42" s="259"/>
      <c r="BW42" s="260"/>
      <c r="BX42" s="200"/>
      <c r="BY42" s="341"/>
      <c r="BZ42" s="267"/>
      <c r="CA42" s="268"/>
      <c r="CB42" s="269"/>
      <c r="CC42" s="270"/>
      <c r="CD42" s="271"/>
      <c r="CE42" s="272"/>
      <c r="CF42" s="270"/>
      <c r="CG42" s="267"/>
      <c r="CH42" s="273"/>
      <c r="CI42" s="83"/>
      <c r="CL42" s="182"/>
      <c r="CM42" s="343"/>
      <c r="CN42" s="344"/>
      <c r="CO42" s="344"/>
      <c r="CP42" s="344"/>
      <c r="CQ42" s="344"/>
      <c r="CR42" s="391"/>
      <c r="CS42" s="344"/>
      <c r="CT42" s="470"/>
      <c r="CU42" s="471"/>
      <c r="CV42" s="344"/>
      <c r="CW42" s="345"/>
      <c r="CX42" s="344"/>
      <c r="CY42" s="344"/>
      <c r="CZ42" s="346"/>
      <c r="DA42" s="344"/>
      <c r="DB42" s="408"/>
      <c r="DC42" s="408"/>
      <c r="DD42" s="408"/>
      <c r="DE42" s="344"/>
      <c r="DF42" s="344"/>
      <c r="DG42" s="344"/>
      <c r="DH42" s="344"/>
      <c r="DI42" s="347"/>
      <c r="DJ42" s="11"/>
      <c r="DK42" s="343"/>
      <c r="DL42" s="345"/>
      <c r="DM42" s="346"/>
      <c r="DN42" s="345"/>
      <c r="DO42" s="346"/>
      <c r="DP42" s="344"/>
      <c r="DQ42" s="347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</row>
    <row r="43" spans="1:148" ht="15" customHeight="1" thickBot="1">
      <c r="A43" s="168"/>
      <c r="B43" s="41"/>
      <c r="C43" s="42"/>
      <c r="D43" s="43"/>
      <c r="E43" s="44"/>
      <c r="F43" s="45"/>
      <c r="G43" s="46"/>
      <c r="H43" s="47"/>
      <c r="I43" s="48"/>
      <c r="J43" s="47"/>
      <c r="K43" s="49"/>
      <c r="L43" s="49"/>
      <c r="M43" s="50"/>
      <c r="N43" s="51"/>
      <c r="O43" s="47"/>
      <c r="P43" s="52"/>
      <c r="Q43" s="412"/>
      <c r="R43" s="51"/>
      <c r="S43" s="54"/>
      <c r="T43" s="47"/>
      <c r="U43" s="47"/>
      <c r="V43" s="47"/>
      <c r="W43" s="47"/>
      <c r="X43" s="47"/>
      <c r="Y43" s="53"/>
      <c r="Z43" s="48"/>
      <c r="AA43" s="54"/>
      <c r="AB43" s="47"/>
      <c r="AC43" s="47"/>
      <c r="AD43" s="47"/>
      <c r="AE43" s="52"/>
      <c r="AF43" s="52"/>
      <c r="AG43" s="496"/>
      <c r="AH43" s="497"/>
      <c r="AI43" s="496"/>
      <c r="AJ43" s="498"/>
      <c r="AK43" s="514"/>
      <c r="AL43" s="162"/>
      <c r="AM43" s="419"/>
      <c r="AN43" s="51"/>
      <c r="AO43" s="47"/>
      <c r="AP43" s="49"/>
      <c r="AQ43" s="47"/>
      <c r="AR43" s="47"/>
      <c r="AS43" s="47"/>
      <c r="AT43" s="50"/>
      <c r="AU43" s="55"/>
      <c r="AV43" s="56"/>
      <c r="AW43" s="613"/>
      <c r="AX43" s="53"/>
      <c r="AY43" s="593"/>
      <c r="AZ43" s="601"/>
      <c r="BA43" s="590"/>
      <c r="BB43" s="46"/>
      <c r="BC43" s="57"/>
      <c r="BD43" s="11"/>
      <c r="BE43" s="348"/>
      <c r="BF43" s="349"/>
      <c r="BG43" s="350"/>
      <c r="BH43" s="380"/>
      <c r="BI43" s="381"/>
      <c r="BJ43" s="353"/>
      <c r="BK43" s="354"/>
      <c r="BL43" s="355"/>
      <c r="BM43" s="356"/>
      <c r="BN43" s="357"/>
      <c r="BO43" s="358"/>
      <c r="BP43" s="359"/>
      <c r="BQ43" s="359"/>
      <c r="BR43" s="360"/>
      <c r="BS43" s="361"/>
      <c r="BT43" s="358"/>
      <c r="BU43" s="361"/>
      <c r="BV43" s="358"/>
      <c r="BW43" s="362"/>
      <c r="BX43" s="356"/>
      <c r="BY43" s="363"/>
      <c r="BZ43" s="364"/>
      <c r="CA43" s="365"/>
      <c r="CB43" s="366"/>
      <c r="CC43" s="367"/>
      <c r="CD43" s="368"/>
      <c r="CE43" s="382"/>
      <c r="CF43" s="367"/>
      <c r="CG43" s="364"/>
      <c r="CH43" s="370"/>
      <c r="CI43" s="371"/>
      <c r="CL43" s="182"/>
      <c r="CM43" s="372"/>
      <c r="CN43" s="373"/>
      <c r="CO43" s="373"/>
      <c r="CP43" s="373"/>
      <c r="CQ43" s="373"/>
      <c r="CR43" s="392"/>
      <c r="CS43" s="373"/>
      <c r="CT43" s="472"/>
      <c r="CU43" s="473"/>
      <c r="CV43" s="373"/>
      <c r="CW43" s="374"/>
      <c r="CX43" s="373"/>
      <c r="CY43" s="373"/>
      <c r="CZ43" s="375"/>
      <c r="DA43" s="373"/>
      <c r="DB43" s="409"/>
      <c r="DC43" s="409"/>
      <c r="DD43" s="409"/>
      <c r="DE43" s="373"/>
      <c r="DF43" s="373"/>
      <c r="DG43" s="373"/>
      <c r="DH43" s="373"/>
      <c r="DI43" s="376"/>
      <c r="DJ43" s="11"/>
      <c r="DK43" s="372"/>
      <c r="DL43" s="374"/>
      <c r="DM43" s="375"/>
      <c r="DN43" s="374"/>
      <c r="DO43" s="375"/>
      <c r="DP43" s="373"/>
      <c r="DQ43" s="376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</row>
    <row r="44" spans="1:148" ht="15" customHeight="1" thickBot="1">
      <c r="A44" s="168"/>
      <c r="B44" s="867">
        <f>IF(E45="","",B40)</f>
      </c>
      <c r="C44" s="868"/>
      <c r="D44" s="869"/>
      <c r="E44" s="870"/>
      <c r="F44" s="871"/>
      <c r="G44" s="6"/>
      <c r="H44" s="7"/>
      <c r="I44" s="8"/>
      <c r="J44" s="439"/>
      <c r="K44" s="440"/>
      <c r="L44" s="440"/>
      <c r="M44" s="441">
        <f>IF(J44="","",ROUND(J44-K44*L44/100,3))</f>
      </c>
      <c r="N44" s="9"/>
      <c r="O44" s="7"/>
      <c r="P44" s="7"/>
      <c r="Q44" s="411"/>
      <c r="R44" s="9"/>
      <c r="S44" s="13"/>
      <c r="T44" s="7"/>
      <c r="U44" s="7"/>
      <c r="V44" s="7"/>
      <c r="W44" s="7"/>
      <c r="X44" s="7"/>
      <c r="Y44" s="452"/>
      <c r="Z44" s="453"/>
      <c r="AA44" s="454"/>
      <c r="AB44" s="455"/>
      <c r="AC44" s="455"/>
      <c r="AD44" s="456"/>
      <c r="AE44" s="575">
        <f>IF(AC44="","",$AX$9)</f>
      </c>
      <c r="AF44" s="575">
        <f>IF(AC44="","",$AX$10)</f>
      </c>
      <c r="AG44" s="499">
        <f>IF(AB44="","",IF(CQ45&gt;=CX44,"○","×"))</f>
      </c>
      <c r="AH44" s="500">
        <f>IF(AG44="","",ROUND(CQ45-AS45/1000-CV44,3))</f>
      </c>
      <c r="AI44" s="501">
        <f>IF(AG44="","",IF(AG44="×","×",IF(OR(AD45="",AD45=$CT$17),AG44,IF(AND(CQ44&gt;=DA45,DA45&gt;=CX44),"○","×"))))</f>
      </c>
      <c r="AJ44" s="503"/>
      <c r="AK44" s="515"/>
      <c r="AL44" s="465">
        <f>+DG44</f>
      </c>
      <c r="AM44" s="466">
        <f>+DQ45</f>
      </c>
      <c r="AN44" s="9"/>
      <c r="AO44" s="7"/>
      <c r="AP44" s="10"/>
      <c r="AQ44" s="7"/>
      <c r="AR44" s="11"/>
      <c r="AS44" s="11"/>
      <c r="AT44" s="12"/>
      <c r="AU44" s="9"/>
      <c r="AV44" s="13"/>
      <c r="AW44" s="614"/>
      <c r="AX44" s="38"/>
      <c r="AY44" s="592"/>
      <c r="AZ44" s="600"/>
      <c r="BA44" s="589"/>
      <c r="BB44" s="6"/>
      <c r="BC44" s="14"/>
      <c r="BD44" s="11"/>
      <c r="BE44" s="872">
        <f aca="true" t="shared" si="2" ref="BE44:BG45">IF(B44&lt;&gt;"",B44,"")</f>
      </c>
      <c r="BF44" s="873"/>
      <c r="BG44" s="874"/>
      <c r="BH44" s="875">
        <f>IF(E44&lt;&gt;"",E44,"")</f>
      </c>
      <c r="BI44" s="876"/>
      <c r="BJ44" s="258"/>
      <c r="BK44" s="259"/>
      <c r="BL44" s="260"/>
      <c r="BM44" s="200"/>
      <c r="BN44" s="261"/>
      <c r="BO44" s="259"/>
      <c r="BP44" s="262"/>
      <c r="BQ44" s="262"/>
      <c r="BR44" s="263"/>
      <c r="BS44" s="264"/>
      <c r="BT44" s="265"/>
      <c r="BU44" s="266"/>
      <c r="BV44" s="259"/>
      <c r="BW44" s="260"/>
      <c r="BX44" s="200"/>
      <c r="BY44" s="341"/>
      <c r="BZ44" s="267"/>
      <c r="CA44" s="268"/>
      <c r="CB44" s="269"/>
      <c r="CC44" s="270"/>
      <c r="CD44" s="271"/>
      <c r="CE44" s="272"/>
      <c r="CF44" s="270"/>
      <c r="CG44" s="267"/>
      <c r="CH44" s="273"/>
      <c r="CI44" s="83"/>
      <c r="CL44" s="182"/>
      <c r="CM44" s="274"/>
      <c r="CN44" s="275">
        <f>$F$18</f>
        <v>0.85</v>
      </c>
      <c r="CO44" s="587">
        <f>S45</f>
      </c>
      <c r="CP44" s="276">
        <f>W45</f>
      </c>
      <c r="CQ44" s="277" t="str">
        <f>INDEX($CM$24:$CP$24,1,MATCH(CQ45,CM45:CP45,0))</f>
        <v>宅内配管</v>
      </c>
      <c r="CR44" s="389">
        <f>IF(Y44="","",Y44)</f>
      </c>
      <c r="CS44" s="278">
        <f>IF(OR(AA44="",AB44="",AC44="",AQ45&lt;AB44),"",IF(Z44="土被り",R45-AA44-AC44,IF(Z44="標高",AA44)))</f>
      </c>
      <c r="CT44" s="467">
        <f>IF(CS44="","",CS44+AC44)</f>
      </c>
      <c r="CU44" s="474">
        <f>IF(CS44="","",CS44+AB44*AP45/100)</f>
      </c>
      <c r="CV44" s="279">
        <f>IF(CT44="","",CT44+AB44*AP45/100)</f>
      </c>
      <c r="CW44" s="457">
        <f>AE44</f>
      </c>
      <c r="CX44" s="280">
        <f>IF(CS44="","",CV44+CW44+AS45/1000)</f>
      </c>
      <c r="CY44" s="458">
        <f>AF44</f>
      </c>
      <c r="CZ44" s="281">
        <f>IF(CS44="","",CU44-CY44-AS45/1000-AR45/1000)</f>
      </c>
      <c r="DA44" s="282">
        <f>IF(CS44="","",IF(OR(AND(CW44=0,CY44=0),AD44=$CT$17),"",IF(CQ45&gt;=CX44,CQ45,MIN(CQ45,CZ44))))</f>
      </c>
      <c r="DB44" s="406">
        <f>IF(CU44="","",IF(CQ45&gt;=CX44,"○","×"))</f>
      </c>
      <c r="DC44" s="406">
        <f>IF(DB44="","",IF(DB44="×","×",IF(AND(CW44=0,CY44=0),"○",IF(AND(CQ45&gt;=DA45,DA45&gt;=CX44),"○","×"))))</f>
      </c>
      <c r="DD44" s="475">
        <f>IF(AD44="","",AD44)</f>
      </c>
      <c r="DE44" s="283">
        <f>IF(AND(DA45="",DA44=""),"",MIN(DA45,DA44))</f>
      </c>
      <c r="DF44" s="284">
        <f>IF(DE44="",CQ45,IF(DA44="",DE44,IF(DA45="",DE44,IF(AND(DC44="×",DC45="×"),MIN(CZ45,CZ44,DA45,DA44),IF(DE44=DA45,IF(DC45="○",DA44,DA45),IF(DE44=DA44,IF(DC44="○",DA45,DA44)))))))</f>
      </c>
      <c r="DG44" s="285">
        <f>IF(CS44="","",IF(AND(CW44=0,CY44=0),"無視",IF(DF44&gt;=CU44,"上越し","下越し")))</f>
      </c>
      <c r="DH44" s="286"/>
      <c r="DI44" s="287"/>
      <c r="DJ44" s="11"/>
      <c r="DK44" s="218" t="s">
        <v>60</v>
      </c>
      <c r="DL44" s="288" t="s">
        <v>16</v>
      </c>
      <c r="DM44" s="289" t="s">
        <v>61</v>
      </c>
      <c r="DN44" s="288" t="s">
        <v>16</v>
      </c>
      <c r="DO44" s="289"/>
      <c r="DP44" s="290"/>
      <c r="DQ44" s="291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</row>
    <row r="45" spans="1:148" ht="15" customHeight="1" thickBot="1">
      <c r="A45" s="168"/>
      <c r="B45" s="58"/>
      <c r="C45" s="59"/>
      <c r="D45" s="588"/>
      <c r="E45" s="863"/>
      <c r="F45" s="864"/>
      <c r="G45" s="15">
        <f>$F$6</f>
        <v>0.1</v>
      </c>
      <c r="H45" s="16"/>
      <c r="I45" s="17">
        <f>IF(H45="","",IF(K45&lt;50,$I$8,IF(K45&lt;120,$I$9,$I$10)))</f>
      </c>
      <c r="J45" s="435">
        <f>IF(H45="","",H45-I45-G45)</f>
      </c>
      <c r="K45" s="436"/>
      <c r="L45" s="437">
        <f>IF(K45="","",IF(K45&lt;50,$I$12,IF(K45&lt;120,$I$13,$I$14)))</f>
      </c>
      <c r="M45" s="438">
        <f>IF(K45="","",ROUND(H45-I45-G45-K45*L45/100,3))</f>
      </c>
      <c r="N45" s="21"/>
      <c r="O45" s="18">
        <f>IF(AND(M45="",M44=""),"",MIN(M45,M44))</f>
      </c>
      <c r="P45" s="22">
        <f>IF(N45="","",$F$16)</f>
      </c>
      <c r="Q45" s="410">
        <f>IF(N45="","",N45-O45+P45)</f>
      </c>
      <c r="R45" s="21"/>
      <c r="S45" s="567">
        <f>IF(R45="","",$AX$7)</f>
      </c>
      <c r="T45" s="23">
        <f>IF(R45="","",DK45)</f>
      </c>
      <c r="U45" s="16"/>
      <c r="V45" s="16"/>
      <c r="W45" s="567">
        <f>IF(U45="","",$AX$8)</f>
      </c>
      <c r="X45" s="23">
        <f>+DM45</f>
      </c>
      <c r="Y45" s="447"/>
      <c r="Z45" s="448"/>
      <c r="AA45" s="449"/>
      <c r="AB45" s="450"/>
      <c r="AC45" s="450"/>
      <c r="AD45" s="451"/>
      <c r="AE45" s="574">
        <f>IF(AC45="","",$AX$9)</f>
      </c>
      <c r="AF45" s="574">
        <f>IF(AC45="","",$AX$10)</f>
      </c>
      <c r="AG45" s="489">
        <f>IF(AB45="","",IF(CQ45&gt;=CX45,"○","×"))</f>
      </c>
      <c r="AH45" s="490">
        <f>IF(AG45="","",ROUND(CQ45-AS45/1000-CV45,3))</f>
      </c>
      <c r="AI45" s="491">
        <f>IF(AG45="","",IF(AG45="×","×",IF(OR(AD44="",AD44=$CT$17),AG45,IF(AND(CQ45&gt;=DA44,DA44&gt;=CX45),"○","×"))))</f>
      </c>
      <c r="AJ45" s="504"/>
      <c r="AK45" s="512"/>
      <c r="AL45" s="463">
        <f>+DG45</f>
      </c>
      <c r="AM45" s="464">
        <f>+DO45</f>
      </c>
      <c r="AN45" s="25">
        <f>IF(OR(AO45="",AQ45="",AP45=""),"",DF44)</f>
      </c>
      <c r="AO45" s="24"/>
      <c r="AP45" s="19"/>
      <c r="AQ45" s="19"/>
      <c r="AR45" s="22">
        <f>IF(AO45="","",VLOOKUP(AO45,$AO$7:$AQ$12,2,0))</f>
      </c>
      <c r="AS45" s="22">
        <f>IF(AO45="","",VLOOKUP(AO45,$AO$7:$AQ$12,3,0))</f>
      </c>
      <c r="AT45" s="20">
        <f>IF(AN45="","",AN45-AQ45*AP45/100)</f>
      </c>
      <c r="AU45" s="26">
        <f>IF(DF44="","",IF(Q45&gt;=$F$18,Q45,$F$18))</f>
      </c>
      <c r="AV45" s="27">
        <f>IF(AN45="","",N45-DF44)</f>
      </c>
      <c r="AW45" s="611">
        <f>IF(AU45&gt;AV45,AU45,AV45)</f>
      </c>
      <c r="AX45" s="28">
        <f>IF(AU45="","",IF((AV45-AU45)&lt;VLOOKUP(VALUE(RIGHT(AO45,3)),$AW$16:$AX$17,2,0),"標準","ドロップ"))</f>
      </c>
      <c r="AY45" s="591">
        <f>IF(Q45="","",DH45)</f>
      </c>
      <c r="AZ45" s="602"/>
      <c r="BA45" s="20">
        <f>IF(AT45="","",AT45-AZ45)</f>
      </c>
      <c r="BB45" s="29"/>
      <c r="BC45" s="30"/>
      <c r="BD45" s="11"/>
      <c r="BE45" s="377">
        <f t="shared" si="2"/>
      </c>
      <c r="BF45" s="378">
        <f t="shared" si="2"/>
      </c>
      <c r="BG45" s="379">
        <f t="shared" si="2"/>
      </c>
      <c r="BH45" s="865">
        <f>IF(E45&lt;&gt;"",E45,"")</f>
      </c>
      <c r="BI45" s="866"/>
      <c r="BJ45" s="292">
        <f>IF(N45&lt;&gt;"",N45,"")</f>
      </c>
      <c r="BK45" s="293">
        <f>'様式１０号'!AU45</f>
      </c>
      <c r="BL45" s="294">
        <f>'様式１０号'!AV45</f>
      </c>
      <c r="BM45" s="295">
        <f>+AX45</f>
      </c>
      <c r="BN45" s="296">
        <f>'様式１０号'!AY45</f>
      </c>
      <c r="BO45" s="297">
        <f>'様式１０号'!AN45</f>
      </c>
      <c r="BP45" s="298">
        <f>IF(AO45&lt;&gt;"",AO45,"")</f>
      </c>
      <c r="BQ45" s="299">
        <f>IF(AQ45&lt;&gt;"",AQ45,"")</f>
      </c>
      <c r="BR45" s="299">
        <f>IF(AP45&lt;&gt;"",AP45,"")</f>
      </c>
      <c r="BS45" s="300">
        <f>IF(BO45="","",BO45-BQ45*BR45/100)</f>
      </c>
      <c r="BT45" s="301">
        <f>IF(R45&lt;&gt;"",R45,"")</f>
      </c>
      <c r="BU45" s="302">
        <v>0.5</v>
      </c>
      <c r="BV45" s="297">
        <f>IF(BO45="","",ROUND(BO45-BU45*BR45/100,3))</f>
      </c>
      <c r="BW45" s="303">
        <v>0.1</v>
      </c>
      <c r="BX45" s="304">
        <f>IF(OR(BV45="",CH45="簡易推進"),"",ROUND(BT45-BV45+BW45,2))</f>
      </c>
      <c r="BY45" s="305"/>
      <c r="BZ45" s="306">
        <f>IF(BX45="","",IF(AND(BX45&lt;=1.5,BY45=""),"",IF(BX45+0.2&lt;=1.5,1.5,IF(BX45+0.2&lt;=2,2,IF(BX45+0.2&lt;=2.5,2.5)))))</f>
      </c>
      <c r="CA45" s="307"/>
      <c r="CB45" s="308">
        <f>IF(BZ45="","",IF(BX45&lt;=$CB$26,CA45,""))</f>
      </c>
      <c r="CC45" s="309">
        <f>IF(BZ45="","",IF(AND(BX45&gt;$CB$26,BX45&lt;=$CC$26),CA45,""))</f>
      </c>
      <c r="CD45" s="310">
        <f>IF(BZ45="","",IF(BX45&lt;=$CC$26,"",IF(AND(BX45&gt;$CC$26,BX45&lt;=$CD$26),CA45,"")))</f>
      </c>
      <c r="CE45" s="311"/>
      <c r="CF45" s="312"/>
      <c r="CG45" s="313"/>
      <c r="CH45" s="314"/>
      <c r="CI45" s="315"/>
      <c r="CK45" s="415">
        <f>E45</f>
        <v>0</v>
      </c>
      <c r="CL45" s="182"/>
      <c r="CM45" s="316">
        <f>IF(O45="","",O45-P45)</f>
      </c>
      <c r="CN45" s="317">
        <f>IF(O45="","",N45-CN44)</f>
      </c>
      <c r="CO45" s="317">
        <f>IF(AO45="","",IF(R45="","",R45-CO44-AS45/1000-AR45/1000))</f>
      </c>
      <c r="CP45" s="318">
        <f>IF(U45="","",U45-CP44-AS45/1000-AR45/1000+V45*AP45/100)</f>
      </c>
      <c r="CQ45" s="319">
        <f>IF(O45="","",MIN(CM45,CN45,CO45,CP45))</f>
      </c>
      <c r="CR45" s="390">
        <f>IF(Y45="","",Y45)</f>
      </c>
      <c r="CS45" s="320">
        <f>IF(OR(AA45="",AB45="",AC45="",AQ45&lt;AB45),"",IF(Z45="土被り",R45-AA45-AC45,IF(Z45="標高",AA45)))</f>
      </c>
      <c r="CT45" s="468">
        <f>IF(CS45="","",CS45+AC45)</f>
      </c>
      <c r="CU45" s="469">
        <f>IF(CS45="","",CS45+AB45*AP45/100)</f>
      </c>
      <c r="CV45" s="321">
        <f>IF(CT45="","",CT45+AB45*AP45/100)</f>
      </c>
      <c r="CW45" s="459">
        <f>AE45</f>
      </c>
      <c r="CX45" s="322">
        <f>IF(CS45="","",CV45+CW45+AS45/1000)</f>
      </c>
      <c r="CY45" s="460">
        <f>AF45</f>
      </c>
      <c r="CZ45" s="323">
        <f>IF(CS45="","",CU45-CY45-AS45/1000-AR45/1000)</f>
      </c>
      <c r="DA45" s="324">
        <f>IF(CS45="","",IF(OR(AD45=$CT$17,AND(CW45=0,CY45=0)),"",IF(CQ45&gt;=CX45,CQ45,MIN(CQ45,CZ45))))</f>
      </c>
      <c r="DB45" s="407">
        <f>IF(CU45="","",IF(CQ45&gt;=CX45,"○","×"))</f>
      </c>
      <c r="DC45" s="407">
        <f>IF(DA44="",DB45,IF(DB45="×","×",IF(AND(CW45=0,CY45=0),"○",IF(AND(CQ45&gt;=DA44,DA44&gt;=CX45),"○","×"))))</f>
      </c>
      <c r="DD45" s="475">
        <f>IF(AD45="","",AD45)</f>
      </c>
      <c r="DE45" s="325"/>
      <c r="DF45" s="326"/>
      <c r="DG45" s="322">
        <f>IF(CS45="","",IF(AND(CW45=0,CY45=0),"無視",IF(DF44&gt;=CU45,"上越し","下越し")))</f>
      </c>
      <c r="DH45" s="325" t="str">
        <f>IF(DF44=CQ45,CQ44,IF(CZ45=DF44,CR45&amp;DG45,CR44&amp;DG44))</f>
        <v>宅内配管</v>
      </c>
      <c r="DI45" s="327"/>
      <c r="DJ45" s="11"/>
      <c r="DK45" s="328">
        <f>IF(AN45="","",R45-DF44-AR45/1000-AS45/1000)</f>
      </c>
      <c r="DL45" s="254">
        <f>IF(U45="","",DF44-V45*AP45/100)</f>
      </c>
      <c r="DM45" s="329">
        <f>IF(U45="","",U45-DL45-AR45/1000-AS45/1000)</f>
      </c>
      <c r="DN45" s="254">
        <f>IF(CS45="","",DF44-AB45*AP45/100)</f>
      </c>
      <c r="DO45" s="330">
        <f>IF(CS45="","",IF(CS45&gt;=DN45,CS45-DN45-AR45/1000-AS45/1000,DN45-CT45-AS45/1000))</f>
      </c>
      <c r="DP45" s="331">
        <f>IF(CS44="","",DF44-AB44*AP45/100)</f>
      </c>
      <c r="DQ45" s="332">
        <f>IF(CS44="","",IF(CS44&gt;=DP45,CS44-DP45-AR45/1000-AS45/1000,DP45-CT44-AS45/1000))</f>
      </c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</row>
    <row r="46" spans="1:148" ht="15" customHeight="1">
      <c r="A46" s="168"/>
      <c r="B46" s="31"/>
      <c r="C46" s="32"/>
      <c r="D46" s="33"/>
      <c r="E46" s="34"/>
      <c r="F46" s="35"/>
      <c r="G46" s="6"/>
      <c r="H46" s="7"/>
      <c r="I46" s="8"/>
      <c r="J46" s="7"/>
      <c r="K46" s="36"/>
      <c r="L46" s="36"/>
      <c r="M46" s="12"/>
      <c r="N46" s="9"/>
      <c r="O46" s="7"/>
      <c r="P46" s="37"/>
      <c r="Q46" s="411"/>
      <c r="R46" s="9"/>
      <c r="S46" s="13"/>
      <c r="T46" s="7"/>
      <c r="U46" s="7"/>
      <c r="V46" s="7"/>
      <c r="W46" s="7"/>
      <c r="X46" s="7"/>
      <c r="Y46" s="38"/>
      <c r="Z46" s="8"/>
      <c r="AA46" s="13"/>
      <c r="AB46" s="7"/>
      <c r="AC46" s="7"/>
      <c r="AD46" s="7"/>
      <c r="AE46" s="37"/>
      <c r="AF46" s="37"/>
      <c r="AG46" s="493"/>
      <c r="AH46" s="494"/>
      <c r="AI46" s="493"/>
      <c r="AJ46" s="495"/>
      <c r="AK46" s="513"/>
      <c r="AL46" s="102"/>
      <c r="AM46" s="418"/>
      <c r="AN46" s="9"/>
      <c r="AO46" s="7"/>
      <c r="AP46" s="36"/>
      <c r="AQ46" s="7"/>
      <c r="AR46" s="7"/>
      <c r="AS46" s="7"/>
      <c r="AT46" s="12"/>
      <c r="AU46" s="39"/>
      <c r="AV46" s="40"/>
      <c r="AW46" s="612"/>
      <c r="AX46" s="38"/>
      <c r="AY46" s="592"/>
      <c r="AZ46" s="600"/>
      <c r="BA46" s="589"/>
      <c r="BB46" s="6"/>
      <c r="BC46" s="14"/>
      <c r="BD46" s="11"/>
      <c r="BE46" s="333"/>
      <c r="BF46" s="334"/>
      <c r="BG46" s="335"/>
      <c r="BH46" s="336"/>
      <c r="BI46" s="337"/>
      <c r="BJ46" s="258"/>
      <c r="BK46" s="338"/>
      <c r="BL46" s="339"/>
      <c r="BM46" s="200"/>
      <c r="BN46" s="261"/>
      <c r="BO46" s="259"/>
      <c r="BP46" s="262"/>
      <c r="BQ46" s="262"/>
      <c r="BR46" s="340"/>
      <c r="BS46" s="264"/>
      <c r="BT46" s="259"/>
      <c r="BU46" s="264"/>
      <c r="BV46" s="259"/>
      <c r="BW46" s="260"/>
      <c r="BX46" s="200"/>
      <c r="BY46" s="341"/>
      <c r="BZ46" s="267"/>
      <c r="CA46" s="268"/>
      <c r="CB46" s="269"/>
      <c r="CC46" s="270"/>
      <c r="CD46" s="271"/>
      <c r="CE46" s="272"/>
      <c r="CF46" s="270"/>
      <c r="CG46" s="267"/>
      <c r="CH46" s="273"/>
      <c r="CI46" s="83"/>
      <c r="CL46" s="182"/>
      <c r="CM46" s="343"/>
      <c r="CN46" s="344"/>
      <c r="CO46" s="344"/>
      <c r="CP46" s="344"/>
      <c r="CQ46" s="344"/>
      <c r="CR46" s="391"/>
      <c r="CS46" s="344"/>
      <c r="CT46" s="470"/>
      <c r="CU46" s="471"/>
      <c r="CV46" s="344"/>
      <c r="CW46" s="345"/>
      <c r="CX46" s="344"/>
      <c r="CY46" s="344"/>
      <c r="CZ46" s="346"/>
      <c r="DA46" s="344"/>
      <c r="DB46" s="408"/>
      <c r="DC46" s="408"/>
      <c r="DD46" s="408"/>
      <c r="DE46" s="344"/>
      <c r="DF46" s="344"/>
      <c r="DG46" s="344"/>
      <c r="DH46" s="344"/>
      <c r="DI46" s="347"/>
      <c r="DJ46" s="11"/>
      <c r="DK46" s="343"/>
      <c r="DL46" s="345"/>
      <c r="DM46" s="346"/>
      <c r="DN46" s="345"/>
      <c r="DO46" s="346"/>
      <c r="DP46" s="344"/>
      <c r="DQ46" s="347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</row>
    <row r="47" spans="1:148" ht="15" customHeight="1" thickBot="1">
      <c r="A47" s="168"/>
      <c r="B47" s="41"/>
      <c r="C47" s="42"/>
      <c r="D47" s="43"/>
      <c r="E47" s="44"/>
      <c r="F47" s="45"/>
      <c r="G47" s="46"/>
      <c r="H47" s="47"/>
      <c r="I47" s="48"/>
      <c r="J47" s="47"/>
      <c r="K47" s="49"/>
      <c r="L47" s="49"/>
      <c r="M47" s="50"/>
      <c r="N47" s="51"/>
      <c r="O47" s="47"/>
      <c r="P47" s="52"/>
      <c r="Q47" s="412"/>
      <c r="R47" s="51"/>
      <c r="S47" s="54"/>
      <c r="T47" s="47"/>
      <c r="U47" s="47"/>
      <c r="V47" s="47"/>
      <c r="W47" s="47"/>
      <c r="X47" s="47"/>
      <c r="Y47" s="53"/>
      <c r="Z47" s="48"/>
      <c r="AA47" s="54"/>
      <c r="AB47" s="47"/>
      <c r="AC47" s="47"/>
      <c r="AD47" s="47"/>
      <c r="AE47" s="52"/>
      <c r="AF47" s="52"/>
      <c r="AG47" s="496"/>
      <c r="AH47" s="497"/>
      <c r="AI47" s="496"/>
      <c r="AJ47" s="498"/>
      <c r="AK47" s="514"/>
      <c r="AL47" s="162"/>
      <c r="AM47" s="419"/>
      <c r="AN47" s="51"/>
      <c r="AO47" s="47"/>
      <c r="AP47" s="49"/>
      <c r="AQ47" s="47"/>
      <c r="AR47" s="47"/>
      <c r="AS47" s="47"/>
      <c r="AT47" s="50"/>
      <c r="AU47" s="55"/>
      <c r="AV47" s="56"/>
      <c r="AW47" s="613"/>
      <c r="AX47" s="53"/>
      <c r="AY47" s="593"/>
      <c r="AZ47" s="601"/>
      <c r="BA47" s="590"/>
      <c r="BB47" s="46"/>
      <c r="BC47" s="57"/>
      <c r="BD47" s="11"/>
      <c r="BE47" s="348"/>
      <c r="BF47" s="349"/>
      <c r="BG47" s="350"/>
      <c r="BH47" s="380"/>
      <c r="BI47" s="381"/>
      <c r="BJ47" s="353"/>
      <c r="BK47" s="354"/>
      <c r="BL47" s="355"/>
      <c r="BM47" s="356"/>
      <c r="BN47" s="357"/>
      <c r="BO47" s="358"/>
      <c r="BP47" s="359"/>
      <c r="BQ47" s="359"/>
      <c r="BR47" s="360"/>
      <c r="BS47" s="361"/>
      <c r="BT47" s="358"/>
      <c r="BU47" s="361"/>
      <c r="BV47" s="358"/>
      <c r="BW47" s="362"/>
      <c r="BX47" s="356"/>
      <c r="BY47" s="363"/>
      <c r="BZ47" s="364"/>
      <c r="CA47" s="365"/>
      <c r="CB47" s="366"/>
      <c r="CC47" s="367"/>
      <c r="CD47" s="368"/>
      <c r="CE47" s="382"/>
      <c r="CF47" s="367"/>
      <c r="CG47" s="364"/>
      <c r="CH47" s="370"/>
      <c r="CI47" s="371"/>
      <c r="CL47" s="182"/>
      <c r="CM47" s="372"/>
      <c r="CN47" s="373"/>
      <c r="CO47" s="373"/>
      <c r="CP47" s="373"/>
      <c r="CQ47" s="373"/>
      <c r="CR47" s="392"/>
      <c r="CS47" s="373"/>
      <c r="CT47" s="472"/>
      <c r="CU47" s="473"/>
      <c r="CV47" s="373"/>
      <c r="CW47" s="374"/>
      <c r="CX47" s="373"/>
      <c r="CY47" s="373"/>
      <c r="CZ47" s="375"/>
      <c r="DA47" s="373"/>
      <c r="DB47" s="409"/>
      <c r="DC47" s="409"/>
      <c r="DD47" s="409"/>
      <c r="DE47" s="373"/>
      <c r="DF47" s="373"/>
      <c r="DG47" s="373"/>
      <c r="DH47" s="373"/>
      <c r="DI47" s="376"/>
      <c r="DJ47" s="11"/>
      <c r="DK47" s="372"/>
      <c r="DL47" s="374"/>
      <c r="DM47" s="375"/>
      <c r="DN47" s="374"/>
      <c r="DO47" s="375"/>
      <c r="DP47" s="373"/>
      <c r="DQ47" s="376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</row>
    <row r="48" spans="1:148" ht="15" customHeight="1" thickBot="1">
      <c r="A48" s="168"/>
      <c r="B48" s="867">
        <f>IF(E49="","",B44)</f>
      </c>
      <c r="C48" s="868"/>
      <c r="D48" s="869"/>
      <c r="E48" s="870"/>
      <c r="F48" s="871"/>
      <c r="G48" s="6"/>
      <c r="H48" s="7"/>
      <c r="I48" s="8"/>
      <c r="J48" s="439"/>
      <c r="K48" s="440"/>
      <c r="L48" s="440"/>
      <c r="M48" s="441">
        <f>IF(J48="","",ROUND(J48-K48*L48/100,3))</f>
      </c>
      <c r="N48" s="9"/>
      <c r="O48" s="7"/>
      <c r="P48" s="7"/>
      <c r="Q48" s="411"/>
      <c r="R48" s="9"/>
      <c r="S48" s="13"/>
      <c r="T48" s="7"/>
      <c r="U48" s="7"/>
      <c r="V48" s="7"/>
      <c r="W48" s="7"/>
      <c r="X48" s="7"/>
      <c r="Y48" s="452"/>
      <c r="Z48" s="453"/>
      <c r="AA48" s="454"/>
      <c r="AB48" s="455"/>
      <c r="AC48" s="455"/>
      <c r="AD48" s="456"/>
      <c r="AE48" s="575">
        <f>IF(AC48="","",$AX$9)</f>
      </c>
      <c r="AF48" s="575">
        <f>IF(AC48="","",$AX$10)</f>
      </c>
      <c r="AG48" s="499">
        <f>IF(AB48="","",IF(CQ49&gt;=CX48,"○","×"))</f>
      </c>
      <c r="AH48" s="500">
        <f>IF(AG48="","",ROUND(CQ49-AS49/1000-CV48,3))</f>
      </c>
      <c r="AI48" s="501">
        <f>IF(AG48="","",IF(AG48="×","×",IF(OR(AD49="",AD49=$CT$17),AG48,IF(AND(CQ48&gt;=DA49,DA49&gt;=CX48),"○","×"))))</f>
      </c>
      <c r="AJ48" s="503"/>
      <c r="AK48" s="515"/>
      <c r="AL48" s="465">
        <f>+DG48</f>
      </c>
      <c r="AM48" s="466">
        <f>+DQ49</f>
      </c>
      <c r="AN48" s="9"/>
      <c r="AO48" s="7"/>
      <c r="AP48" s="10"/>
      <c r="AQ48" s="7"/>
      <c r="AR48" s="11"/>
      <c r="AS48" s="11"/>
      <c r="AT48" s="12"/>
      <c r="AU48" s="9"/>
      <c r="AV48" s="13"/>
      <c r="AW48" s="614"/>
      <c r="AX48" s="38"/>
      <c r="AY48" s="592"/>
      <c r="AZ48" s="600"/>
      <c r="BA48" s="589"/>
      <c r="BB48" s="6"/>
      <c r="BC48" s="14"/>
      <c r="BD48" s="11"/>
      <c r="BE48" s="872">
        <f aca="true" t="shared" si="3" ref="BE48:BG49">IF(B48&lt;&gt;"",B48,"")</f>
      </c>
      <c r="BF48" s="873"/>
      <c r="BG48" s="874"/>
      <c r="BH48" s="875">
        <f>IF(E48&lt;&gt;"",E48,"")</f>
      </c>
      <c r="BI48" s="876"/>
      <c r="BJ48" s="258"/>
      <c r="BK48" s="259"/>
      <c r="BL48" s="260"/>
      <c r="BM48" s="200"/>
      <c r="BN48" s="261"/>
      <c r="BO48" s="259"/>
      <c r="BP48" s="262"/>
      <c r="BQ48" s="262"/>
      <c r="BR48" s="263"/>
      <c r="BS48" s="264"/>
      <c r="BT48" s="265"/>
      <c r="BU48" s="266"/>
      <c r="BV48" s="259"/>
      <c r="BW48" s="260"/>
      <c r="BX48" s="200"/>
      <c r="BY48" s="341"/>
      <c r="BZ48" s="267"/>
      <c r="CA48" s="268"/>
      <c r="CB48" s="269"/>
      <c r="CC48" s="270"/>
      <c r="CD48" s="271"/>
      <c r="CE48" s="272"/>
      <c r="CF48" s="270"/>
      <c r="CG48" s="267"/>
      <c r="CH48" s="273"/>
      <c r="CI48" s="83"/>
      <c r="CL48" s="182"/>
      <c r="CM48" s="274"/>
      <c r="CN48" s="275">
        <f>$F$18</f>
        <v>0.85</v>
      </c>
      <c r="CO48" s="587">
        <f>S49</f>
      </c>
      <c r="CP48" s="276">
        <f>W49</f>
      </c>
      <c r="CQ48" s="277" t="str">
        <f>INDEX($CM$24:$CP$24,1,MATCH(CQ49,CM49:CP49,0))</f>
        <v>宅内配管</v>
      </c>
      <c r="CR48" s="389">
        <f>IF(Y48="","",Y48)</f>
      </c>
      <c r="CS48" s="278">
        <f>IF(OR(AA48="",AB48="",AC48="",AQ49&lt;AB48),"",IF(Z48="土被り",R49-AA48-AC48,IF(Z48="標高",AA48)))</f>
      </c>
      <c r="CT48" s="467">
        <f>IF(CS48="","",CS48+AC48)</f>
      </c>
      <c r="CU48" s="474">
        <f>IF(CS48="","",CS48+AB48*AP49/100)</f>
      </c>
      <c r="CV48" s="279">
        <f>IF(CT48="","",CT48+AB48*AP49/100)</f>
      </c>
      <c r="CW48" s="457">
        <f>AE48</f>
      </c>
      <c r="CX48" s="280">
        <f>IF(CS48="","",CV48+CW48+AS49/1000)</f>
      </c>
      <c r="CY48" s="458">
        <f>AF48</f>
      </c>
      <c r="CZ48" s="281">
        <f>IF(CS48="","",CU48-CY48-AS49/1000-AR49/1000)</f>
      </c>
      <c r="DA48" s="282">
        <f>IF(CS48="","",IF(OR(AND(CW48=0,CY48=0),AD48=$CT$17),"",IF(CQ49&gt;=CX48,CQ49,MIN(CQ49,CZ48))))</f>
      </c>
      <c r="DB48" s="406">
        <f>IF(CU48="","",IF(CQ49&gt;=CX48,"○","×"))</f>
      </c>
      <c r="DC48" s="406">
        <f>IF(DB48="","",IF(DB48="×","×",IF(AND(CW48=0,CY48=0),"○",IF(AND(CQ49&gt;=DA49,DA49&gt;=CX48),"○","×"))))</f>
      </c>
      <c r="DD48" s="475">
        <f>IF(AD48="","",AD48)</f>
      </c>
      <c r="DE48" s="283">
        <f>IF(AND(DA49="",DA48=""),"",MIN(DA49,DA48))</f>
      </c>
      <c r="DF48" s="284">
        <f>IF(DE48="",CQ49,IF(DA48="",DE48,IF(DA49="",DE48,IF(AND(DC48="×",DC49="×"),MIN(CZ49,CZ48,DA49,DA48),IF(DE48=DA49,IF(DC49="○",DA48,DA49),IF(DE48=DA48,IF(DC48="○",DA49,DA48)))))))</f>
      </c>
      <c r="DG48" s="285">
        <f>IF(CS48="","",IF(AND(CW48=0,CY48=0),"無視",IF(DF48&gt;=CU48,"上越し","下越し")))</f>
      </c>
      <c r="DH48" s="286"/>
      <c r="DI48" s="287"/>
      <c r="DJ48" s="11"/>
      <c r="DK48" s="218" t="s">
        <v>60</v>
      </c>
      <c r="DL48" s="288" t="s">
        <v>16</v>
      </c>
      <c r="DM48" s="289" t="s">
        <v>61</v>
      </c>
      <c r="DN48" s="288" t="s">
        <v>16</v>
      </c>
      <c r="DO48" s="289"/>
      <c r="DP48" s="290"/>
      <c r="DQ48" s="291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</row>
    <row r="49" spans="1:148" ht="15" customHeight="1" thickBot="1">
      <c r="A49" s="168"/>
      <c r="B49" s="58"/>
      <c r="C49" s="59"/>
      <c r="D49" s="588"/>
      <c r="E49" s="863"/>
      <c r="F49" s="864"/>
      <c r="G49" s="15">
        <f>$F$6</f>
        <v>0.1</v>
      </c>
      <c r="H49" s="16"/>
      <c r="I49" s="17">
        <f>IF(H49="","",IF(K49&lt;50,$I$8,IF(K49&lt;120,$I$9,$I$10)))</f>
      </c>
      <c r="J49" s="435">
        <f>IF(H49="","",H49-I49-G49)</f>
      </c>
      <c r="K49" s="436"/>
      <c r="L49" s="437">
        <f>IF(K49="","",IF(K49&lt;50,$I$12,IF(K49&lt;120,$I$13,$I$14)))</f>
      </c>
      <c r="M49" s="438">
        <f>IF(K49="","",ROUND(H49-I49-G49-K49*L49/100,3))</f>
      </c>
      <c r="N49" s="21"/>
      <c r="O49" s="18">
        <f>IF(AND(M49="",M48=""),"",MIN(M49,M48))</f>
      </c>
      <c r="P49" s="22">
        <f>IF(N49="","",$F$16)</f>
      </c>
      <c r="Q49" s="410">
        <f>IF(N49="","",N49-O49+P49)</f>
      </c>
      <c r="R49" s="21"/>
      <c r="S49" s="567">
        <f>IF(R49="","",$AX$7)</f>
      </c>
      <c r="T49" s="23">
        <f>IF(R49="","",DK49)</f>
      </c>
      <c r="U49" s="16"/>
      <c r="V49" s="16"/>
      <c r="W49" s="567">
        <f>IF(U49="","",$AX$8)</f>
      </c>
      <c r="X49" s="23">
        <f>+DM49</f>
      </c>
      <c r="Y49" s="447"/>
      <c r="Z49" s="448"/>
      <c r="AA49" s="449"/>
      <c r="AB49" s="450"/>
      <c r="AC49" s="450"/>
      <c r="AD49" s="451"/>
      <c r="AE49" s="574">
        <f>IF(AC49="","",$AX$9)</f>
      </c>
      <c r="AF49" s="574">
        <f>IF(AC49="","",$AX$10)</f>
      </c>
      <c r="AG49" s="489">
        <f>IF(AB49="","",IF(CQ49&gt;=CX49,"○","×"))</f>
      </c>
      <c r="AH49" s="490">
        <f>IF(AG49="","",ROUND(CQ49-AS49/1000-CV49,3))</f>
      </c>
      <c r="AI49" s="491">
        <f>IF(AG49="","",IF(AG49="×","×",IF(OR(AD48="",AD48=$CT$17),AG49,IF(AND(CQ49&gt;=DA48,DA48&gt;=CX49),"○","×"))))</f>
      </c>
      <c r="AJ49" s="504"/>
      <c r="AK49" s="512"/>
      <c r="AL49" s="463">
        <f>+DG49</f>
      </c>
      <c r="AM49" s="464">
        <f>+DO49</f>
      </c>
      <c r="AN49" s="25">
        <f>IF(OR(AO49="",AQ49="",AP49=""),"",DF48)</f>
      </c>
      <c r="AO49" s="24"/>
      <c r="AP49" s="19"/>
      <c r="AQ49" s="19"/>
      <c r="AR49" s="22">
        <f>IF(AO49="","",VLOOKUP(AO49,$AO$7:$AQ$12,2,0))</f>
      </c>
      <c r="AS49" s="22">
        <f>IF(AO49="","",VLOOKUP(AO49,$AO$7:$AQ$12,3,0))</f>
      </c>
      <c r="AT49" s="20">
        <f>IF(AN49="","",AN49-AQ49*AP49/100)</f>
      </c>
      <c r="AU49" s="26">
        <f>IF(DF48="","",IF(Q49&gt;=$F$18,Q49,$F$18))</f>
      </c>
      <c r="AV49" s="27">
        <f>IF(AN49="","",N49-DF48)</f>
      </c>
      <c r="AW49" s="611">
        <f>IF(AU49&gt;AV49,AU49,AV49)</f>
      </c>
      <c r="AX49" s="28">
        <f>IF(AU49="","",IF((AV49-AU49)&lt;VLOOKUP(VALUE(RIGHT(AO49,3)),$AW$16:$AX$17,2,0),"標準","ドロップ"))</f>
      </c>
      <c r="AY49" s="591">
        <f>IF(Q49="","",DH49)</f>
      </c>
      <c r="AZ49" s="602"/>
      <c r="BA49" s="20">
        <f>IF(AT49="","",AT49-AZ49)</f>
      </c>
      <c r="BB49" s="29"/>
      <c r="BC49" s="30"/>
      <c r="BD49" s="11"/>
      <c r="BE49" s="377">
        <f t="shared" si="3"/>
      </c>
      <c r="BF49" s="378">
        <f t="shared" si="3"/>
      </c>
      <c r="BG49" s="379">
        <f t="shared" si="3"/>
      </c>
      <c r="BH49" s="865">
        <f>IF(E49&lt;&gt;"",E49,"")</f>
      </c>
      <c r="BI49" s="866"/>
      <c r="BJ49" s="292">
        <f>IF(N49&lt;&gt;"",N49,"")</f>
      </c>
      <c r="BK49" s="293">
        <f>'様式１０号'!AU49</f>
      </c>
      <c r="BL49" s="294">
        <f>'様式１０号'!AV49</f>
      </c>
      <c r="BM49" s="295">
        <f>+AX49</f>
      </c>
      <c r="BN49" s="296">
        <f>'様式１０号'!AY49</f>
      </c>
      <c r="BO49" s="297">
        <f>'様式１０号'!AN49</f>
      </c>
      <c r="BP49" s="298">
        <f>IF(AO49&lt;&gt;"",AO49,"")</f>
      </c>
      <c r="BQ49" s="299">
        <f>IF(AQ49&lt;&gt;"",AQ49,"")</f>
      </c>
      <c r="BR49" s="299">
        <f>IF(AP49&lt;&gt;"",AP49,"")</f>
      </c>
      <c r="BS49" s="300">
        <f>IF(BO49="","",BO49-BQ49*BR49/100)</f>
      </c>
      <c r="BT49" s="301">
        <f>IF(R49&lt;&gt;"",R49,"")</f>
      </c>
      <c r="BU49" s="302">
        <v>0.5</v>
      </c>
      <c r="BV49" s="297">
        <f>IF(BO49="","",ROUND(BO49-BU49*BR49/100,3))</f>
      </c>
      <c r="BW49" s="303">
        <v>0.1</v>
      </c>
      <c r="BX49" s="304">
        <f>IF(OR(BV49="",CH49="簡易推進"),"",ROUND(BT49-BV49+BW49,2))</f>
      </c>
      <c r="BY49" s="305"/>
      <c r="BZ49" s="306">
        <f>IF(BX49="","",IF(AND(BX49&lt;=1.5,BY49=""),"",IF(BX49+0.2&lt;=1.5,1.5,IF(BX49+0.2&lt;=2,2,IF(BX49+0.2&lt;=2.5,2.5)))))</f>
      </c>
      <c r="CA49" s="307"/>
      <c r="CB49" s="308">
        <f>IF(BZ49="","",IF(BX49&lt;=$CB$26,CA49,""))</f>
      </c>
      <c r="CC49" s="309">
        <f>IF(BZ49="","",IF(AND(BX49&gt;$CB$26,BX49&lt;=$CC$26),CA49,""))</f>
      </c>
      <c r="CD49" s="310">
        <f>IF(BZ49="","",IF(BX49&lt;=$CC$26,"",IF(AND(BX49&gt;$CC$26,BX49&lt;=$CD$26),CA49,"")))</f>
      </c>
      <c r="CE49" s="311"/>
      <c r="CF49" s="312"/>
      <c r="CG49" s="313"/>
      <c r="CH49" s="314"/>
      <c r="CI49" s="315"/>
      <c r="CK49" s="415">
        <f>E49</f>
        <v>0</v>
      </c>
      <c r="CL49" s="182"/>
      <c r="CM49" s="316">
        <f>IF(O49="","",O49-P49)</f>
      </c>
      <c r="CN49" s="317">
        <f>IF(O49="","",N49-CN48)</f>
      </c>
      <c r="CO49" s="317">
        <f>IF(AO49="","",IF(R49="","",R49-CO48-AS49/1000-AR49/1000))</f>
      </c>
      <c r="CP49" s="318">
        <f>IF(U49="","",U49-CP48-AS49/1000-AR49/1000+V49*AP49/100)</f>
      </c>
      <c r="CQ49" s="319">
        <f>IF(O49="","",MIN(CM49,CN49,CO49,CP49))</f>
      </c>
      <c r="CR49" s="390">
        <f>IF(Y49="","",Y49)</f>
      </c>
      <c r="CS49" s="320">
        <f>IF(OR(AA49="",AB49="",AC49="",AQ49&lt;AB49),"",IF(Z49="土被り",R49-AA49-AC49,IF(Z49="標高",AA49)))</f>
      </c>
      <c r="CT49" s="468">
        <f>IF(CS49="","",CS49+AC49)</f>
      </c>
      <c r="CU49" s="469">
        <f>IF(CS49="","",CS49+AB49*AP49/100)</f>
      </c>
      <c r="CV49" s="321">
        <f>IF(CT49="","",CT49+AB49*AP49/100)</f>
      </c>
      <c r="CW49" s="459">
        <f>AE49</f>
      </c>
      <c r="CX49" s="322">
        <f>IF(CS49="","",CV49+CW49+AS49/1000)</f>
      </c>
      <c r="CY49" s="460">
        <f>AF49</f>
      </c>
      <c r="CZ49" s="323">
        <f>IF(CS49="","",CU49-CY49-AS49/1000-AR49/1000)</f>
      </c>
      <c r="DA49" s="324">
        <f>IF(CS49="","",IF(OR(AD49=$CT$17,AND(CW49=0,CY49=0)),"",IF(CQ49&gt;=CX49,CQ49,MIN(CQ49,CZ49))))</f>
      </c>
      <c r="DB49" s="407">
        <f>IF(CU49="","",IF(CQ49&gt;=CX49,"○","×"))</f>
      </c>
      <c r="DC49" s="407">
        <f>IF(DA48="",DB49,IF(DB49="×","×",IF(AND(CW49=0,CY49=0),"○",IF(AND(CQ49&gt;=DA48,DA48&gt;=CX49),"○","×"))))</f>
      </c>
      <c r="DD49" s="475">
        <f>IF(AD49="","",AD49)</f>
      </c>
      <c r="DE49" s="325"/>
      <c r="DF49" s="326"/>
      <c r="DG49" s="322">
        <f>IF(CS49="","",IF(AND(CW49=0,CY49=0),"無視",IF(DF48&gt;=CU49,"上越し","下越し")))</f>
      </c>
      <c r="DH49" s="325" t="str">
        <f>IF(DF48=CQ49,CQ48,IF(CZ49=DF48,CR49&amp;DG49,CR48&amp;DG48))</f>
        <v>宅内配管</v>
      </c>
      <c r="DI49" s="327"/>
      <c r="DJ49" s="11"/>
      <c r="DK49" s="328">
        <f>IF(AN49="","",R49-DF48-AR49/1000-AS49/1000)</f>
      </c>
      <c r="DL49" s="254">
        <f>IF(U49="","",DF48-V49*AP49/100)</f>
      </c>
      <c r="DM49" s="329">
        <f>IF(U49="","",U49-DL49-AR49/1000-AS49/1000)</f>
      </c>
      <c r="DN49" s="254">
        <f>IF(CS49="","",DF48-AB49*AP49/100)</f>
      </c>
      <c r="DO49" s="330">
        <f>IF(CS49="","",IF(CS49&gt;=DN49,CS49-DN49-AR49/1000-AS49/1000,DN49-CT49-AS49/1000))</f>
      </c>
      <c r="DP49" s="331">
        <f>IF(CS48="","",DF48-AB48*AP49/100)</f>
      </c>
      <c r="DQ49" s="332">
        <f>IF(CS48="","",IF(CS48&gt;=DP49,CS48-DP49-AR49/1000-AS49/1000,DP49-CT48-AS49/1000))</f>
      </c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</row>
    <row r="50" spans="1:148" ht="15" customHeight="1">
      <c r="A50" s="168"/>
      <c r="B50" s="31"/>
      <c r="C50" s="32"/>
      <c r="D50" s="33"/>
      <c r="E50" s="34"/>
      <c r="F50" s="35"/>
      <c r="G50" s="6"/>
      <c r="H50" s="7"/>
      <c r="I50" s="8"/>
      <c r="J50" s="7"/>
      <c r="K50" s="36"/>
      <c r="L50" s="36"/>
      <c r="M50" s="12"/>
      <c r="N50" s="9"/>
      <c r="O50" s="7"/>
      <c r="P50" s="37"/>
      <c r="Q50" s="411"/>
      <c r="R50" s="9"/>
      <c r="S50" s="13"/>
      <c r="T50" s="7"/>
      <c r="U50" s="7"/>
      <c r="V50" s="7"/>
      <c r="W50" s="7"/>
      <c r="X50" s="7"/>
      <c r="Y50" s="38"/>
      <c r="Z50" s="8"/>
      <c r="AA50" s="13"/>
      <c r="AB50" s="7"/>
      <c r="AC50" s="7"/>
      <c r="AD50" s="7"/>
      <c r="AE50" s="37"/>
      <c r="AF50" s="37"/>
      <c r="AG50" s="493"/>
      <c r="AH50" s="494"/>
      <c r="AI50" s="493"/>
      <c r="AJ50" s="495"/>
      <c r="AK50" s="513"/>
      <c r="AL50" s="102"/>
      <c r="AM50" s="418"/>
      <c r="AN50" s="9"/>
      <c r="AO50" s="7"/>
      <c r="AP50" s="36"/>
      <c r="AQ50" s="7"/>
      <c r="AR50" s="7"/>
      <c r="AS50" s="7"/>
      <c r="AT50" s="12"/>
      <c r="AU50" s="39"/>
      <c r="AV50" s="40"/>
      <c r="AW50" s="612"/>
      <c r="AX50" s="38"/>
      <c r="AY50" s="592"/>
      <c r="AZ50" s="600"/>
      <c r="BA50" s="589"/>
      <c r="BB50" s="6"/>
      <c r="BC50" s="14"/>
      <c r="BD50" s="11"/>
      <c r="BE50" s="333"/>
      <c r="BF50" s="334"/>
      <c r="BG50" s="335"/>
      <c r="BH50" s="336"/>
      <c r="BI50" s="337"/>
      <c r="BJ50" s="258"/>
      <c r="BK50" s="338"/>
      <c r="BL50" s="339"/>
      <c r="BM50" s="200"/>
      <c r="BN50" s="261"/>
      <c r="BO50" s="259"/>
      <c r="BP50" s="262"/>
      <c r="BQ50" s="262"/>
      <c r="BR50" s="340"/>
      <c r="BS50" s="264"/>
      <c r="BT50" s="259"/>
      <c r="BU50" s="264"/>
      <c r="BV50" s="259"/>
      <c r="BW50" s="260"/>
      <c r="BX50" s="200"/>
      <c r="BY50" s="341"/>
      <c r="BZ50" s="267"/>
      <c r="CA50" s="268"/>
      <c r="CB50" s="269"/>
      <c r="CC50" s="270"/>
      <c r="CD50" s="271"/>
      <c r="CE50" s="272"/>
      <c r="CF50" s="270"/>
      <c r="CG50" s="267"/>
      <c r="CH50" s="273"/>
      <c r="CI50" s="83"/>
      <c r="CL50" s="182"/>
      <c r="CM50" s="343"/>
      <c r="CN50" s="344"/>
      <c r="CO50" s="344"/>
      <c r="CP50" s="344"/>
      <c r="CQ50" s="344"/>
      <c r="CR50" s="391"/>
      <c r="CS50" s="344"/>
      <c r="CT50" s="470"/>
      <c r="CU50" s="471"/>
      <c r="CV50" s="344"/>
      <c r="CW50" s="345"/>
      <c r="CX50" s="344"/>
      <c r="CY50" s="344"/>
      <c r="CZ50" s="346"/>
      <c r="DA50" s="344"/>
      <c r="DB50" s="408"/>
      <c r="DC50" s="408"/>
      <c r="DD50" s="408"/>
      <c r="DE50" s="344"/>
      <c r="DF50" s="344"/>
      <c r="DG50" s="344"/>
      <c r="DH50" s="344"/>
      <c r="DI50" s="347"/>
      <c r="DJ50" s="11"/>
      <c r="DK50" s="343"/>
      <c r="DL50" s="345"/>
      <c r="DM50" s="346"/>
      <c r="DN50" s="345"/>
      <c r="DO50" s="346"/>
      <c r="DP50" s="344"/>
      <c r="DQ50" s="347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</row>
    <row r="51" spans="1:148" ht="15" customHeight="1" thickBot="1">
      <c r="A51" s="168"/>
      <c r="B51" s="41"/>
      <c r="C51" s="42"/>
      <c r="D51" s="43"/>
      <c r="E51" s="44"/>
      <c r="F51" s="45"/>
      <c r="G51" s="46"/>
      <c r="H51" s="47"/>
      <c r="I51" s="48"/>
      <c r="J51" s="47"/>
      <c r="K51" s="49"/>
      <c r="L51" s="49"/>
      <c r="M51" s="50"/>
      <c r="N51" s="51"/>
      <c r="O51" s="47"/>
      <c r="P51" s="52"/>
      <c r="Q51" s="412"/>
      <c r="R51" s="51"/>
      <c r="S51" s="54"/>
      <c r="T51" s="47"/>
      <c r="U51" s="47"/>
      <c r="V51" s="47"/>
      <c r="W51" s="47"/>
      <c r="X51" s="47"/>
      <c r="Y51" s="53"/>
      <c r="Z51" s="48"/>
      <c r="AA51" s="54"/>
      <c r="AB51" s="47"/>
      <c r="AC51" s="47"/>
      <c r="AD51" s="47"/>
      <c r="AE51" s="52"/>
      <c r="AF51" s="52"/>
      <c r="AG51" s="496"/>
      <c r="AH51" s="497"/>
      <c r="AI51" s="496"/>
      <c r="AJ51" s="498"/>
      <c r="AK51" s="514"/>
      <c r="AL51" s="162"/>
      <c r="AM51" s="419"/>
      <c r="AN51" s="51"/>
      <c r="AO51" s="47"/>
      <c r="AP51" s="49"/>
      <c r="AQ51" s="47"/>
      <c r="AR51" s="47"/>
      <c r="AS51" s="47"/>
      <c r="AT51" s="50"/>
      <c r="AU51" s="55"/>
      <c r="AV51" s="56"/>
      <c r="AW51" s="613"/>
      <c r="AX51" s="53"/>
      <c r="AY51" s="593"/>
      <c r="AZ51" s="601"/>
      <c r="BA51" s="590"/>
      <c r="BB51" s="46"/>
      <c r="BC51" s="57"/>
      <c r="BD51" s="11"/>
      <c r="BE51" s="348"/>
      <c r="BF51" s="349"/>
      <c r="BG51" s="350"/>
      <c r="BH51" s="380"/>
      <c r="BI51" s="381"/>
      <c r="BJ51" s="353"/>
      <c r="BK51" s="354"/>
      <c r="BL51" s="355"/>
      <c r="BM51" s="356"/>
      <c r="BN51" s="357"/>
      <c r="BO51" s="358"/>
      <c r="BP51" s="359"/>
      <c r="BQ51" s="359"/>
      <c r="BR51" s="360"/>
      <c r="BS51" s="361"/>
      <c r="BT51" s="358"/>
      <c r="BU51" s="361"/>
      <c r="BV51" s="358"/>
      <c r="BW51" s="362"/>
      <c r="BX51" s="356"/>
      <c r="BY51" s="363"/>
      <c r="BZ51" s="364"/>
      <c r="CA51" s="365"/>
      <c r="CB51" s="366"/>
      <c r="CC51" s="367"/>
      <c r="CD51" s="368"/>
      <c r="CE51" s="382"/>
      <c r="CF51" s="367"/>
      <c r="CG51" s="364"/>
      <c r="CH51" s="370"/>
      <c r="CI51" s="371"/>
      <c r="CL51" s="182"/>
      <c r="CM51" s="372"/>
      <c r="CN51" s="373"/>
      <c r="CO51" s="373"/>
      <c r="CP51" s="373"/>
      <c r="CQ51" s="373"/>
      <c r="CR51" s="392"/>
      <c r="CS51" s="373"/>
      <c r="CT51" s="472"/>
      <c r="CU51" s="473"/>
      <c r="CV51" s="373"/>
      <c r="CW51" s="374"/>
      <c r="CX51" s="373"/>
      <c r="CY51" s="373"/>
      <c r="CZ51" s="375"/>
      <c r="DA51" s="373"/>
      <c r="DB51" s="409"/>
      <c r="DC51" s="409"/>
      <c r="DD51" s="409"/>
      <c r="DE51" s="373"/>
      <c r="DF51" s="373"/>
      <c r="DG51" s="373"/>
      <c r="DH51" s="373"/>
      <c r="DI51" s="376"/>
      <c r="DJ51" s="11"/>
      <c r="DK51" s="372"/>
      <c r="DL51" s="374"/>
      <c r="DM51" s="375"/>
      <c r="DN51" s="374"/>
      <c r="DO51" s="375"/>
      <c r="DP51" s="373"/>
      <c r="DQ51" s="376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</row>
    <row r="52" spans="1:148" ht="15" customHeight="1" thickBot="1">
      <c r="A52" s="168"/>
      <c r="B52" s="867">
        <f>IF(E53="","",B48)</f>
      </c>
      <c r="C52" s="868"/>
      <c r="D52" s="869"/>
      <c r="E52" s="870"/>
      <c r="F52" s="871"/>
      <c r="G52" s="6"/>
      <c r="H52" s="7"/>
      <c r="I52" s="8"/>
      <c r="J52" s="439"/>
      <c r="K52" s="440"/>
      <c r="L52" s="440"/>
      <c r="M52" s="441">
        <f>IF(J52="","",ROUND(J52-K52*L52/100,3))</f>
      </c>
      <c r="N52" s="9"/>
      <c r="O52" s="7"/>
      <c r="P52" s="7"/>
      <c r="Q52" s="411"/>
      <c r="R52" s="9"/>
      <c r="S52" s="13"/>
      <c r="T52" s="7"/>
      <c r="U52" s="7"/>
      <c r="V52" s="7"/>
      <c r="W52" s="7"/>
      <c r="X52" s="7"/>
      <c r="Y52" s="452"/>
      <c r="Z52" s="453"/>
      <c r="AA52" s="454"/>
      <c r="AB52" s="455"/>
      <c r="AC52" s="455"/>
      <c r="AD52" s="456"/>
      <c r="AE52" s="575">
        <f>IF(AC52="","",$AX$9)</f>
      </c>
      <c r="AF52" s="575">
        <f>IF(AC52="","",$AX$10)</f>
      </c>
      <c r="AG52" s="499">
        <f>IF(AB52="","",IF(CQ53&gt;=CX52,"○","×"))</f>
      </c>
      <c r="AH52" s="500">
        <f>IF(AG52="","",ROUND(CQ53-AS53/1000-CV52,3))</f>
      </c>
      <c r="AI52" s="501">
        <f>IF(AG52="","",IF(AG52="×","×",IF(OR(AD53="",AD53=$CT$17),AG52,IF(AND(CQ52&gt;=DA53,DA53&gt;=CX52),"○","×"))))</f>
      </c>
      <c r="AJ52" s="503"/>
      <c r="AK52" s="515"/>
      <c r="AL52" s="465">
        <f>+DG52</f>
      </c>
      <c r="AM52" s="466">
        <f>+DQ53</f>
      </c>
      <c r="AN52" s="9"/>
      <c r="AO52" s="7"/>
      <c r="AP52" s="10"/>
      <c r="AQ52" s="7"/>
      <c r="AR52" s="11"/>
      <c r="AS52" s="11"/>
      <c r="AT52" s="12"/>
      <c r="AU52" s="9"/>
      <c r="AV52" s="13"/>
      <c r="AW52" s="614"/>
      <c r="AX52" s="38"/>
      <c r="AY52" s="592"/>
      <c r="AZ52" s="600"/>
      <c r="BA52" s="589"/>
      <c r="BB52" s="6"/>
      <c r="BC52" s="14"/>
      <c r="BD52" s="11"/>
      <c r="BE52" s="872">
        <f aca="true" t="shared" si="4" ref="BE52:BG53">IF(B52&lt;&gt;"",B52,"")</f>
      </c>
      <c r="BF52" s="873"/>
      <c r="BG52" s="874"/>
      <c r="BH52" s="875">
        <f>IF(E52&lt;&gt;"",E52,"")</f>
      </c>
      <c r="BI52" s="876"/>
      <c r="BJ52" s="258"/>
      <c r="BK52" s="259"/>
      <c r="BL52" s="260"/>
      <c r="BM52" s="200"/>
      <c r="BN52" s="261"/>
      <c r="BO52" s="259"/>
      <c r="BP52" s="262"/>
      <c r="BQ52" s="262"/>
      <c r="BR52" s="263"/>
      <c r="BS52" s="264"/>
      <c r="BT52" s="265"/>
      <c r="BU52" s="266"/>
      <c r="BV52" s="259"/>
      <c r="BW52" s="260"/>
      <c r="BX52" s="200"/>
      <c r="BY52" s="341"/>
      <c r="BZ52" s="267"/>
      <c r="CA52" s="268"/>
      <c r="CB52" s="269"/>
      <c r="CC52" s="270"/>
      <c r="CD52" s="271"/>
      <c r="CE52" s="272"/>
      <c r="CF52" s="270"/>
      <c r="CG52" s="267"/>
      <c r="CH52" s="273"/>
      <c r="CI52" s="83"/>
      <c r="CL52" s="182"/>
      <c r="CM52" s="274"/>
      <c r="CN52" s="275">
        <f>$F$18</f>
        <v>0.85</v>
      </c>
      <c r="CO52" s="587">
        <f>S53</f>
      </c>
      <c r="CP52" s="276">
        <f>W53</f>
      </c>
      <c r="CQ52" s="277" t="str">
        <f>INDEX($CM$24:$CP$24,1,MATCH(CQ53,CM53:CP53,0))</f>
        <v>宅内配管</v>
      </c>
      <c r="CR52" s="389">
        <f>IF(Y52="","",Y52)</f>
      </c>
      <c r="CS52" s="278">
        <f>IF(OR(AA52="",AB52="",AC52="",AQ53&lt;AB52),"",IF(Z52="土被り",R53-AA52-AC52,IF(Z52="標高",AA52)))</f>
      </c>
      <c r="CT52" s="467">
        <f>IF(CS52="","",CS52+AC52)</f>
      </c>
      <c r="CU52" s="474">
        <f>IF(CS52="","",CS52+AB52*AP53/100)</f>
      </c>
      <c r="CV52" s="279">
        <f>IF(CT52="","",CT52+AB52*AP53/100)</f>
      </c>
      <c r="CW52" s="457">
        <f>AE52</f>
      </c>
      <c r="CX52" s="280">
        <f>IF(CS52="","",CV52+CW52+AS53/1000)</f>
      </c>
      <c r="CY52" s="458">
        <f>AF52</f>
      </c>
      <c r="CZ52" s="281">
        <f>IF(CS52="","",CU52-CY52-AS53/1000-AR53/1000)</f>
      </c>
      <c r="DA52" s="282">
        <f>IF(CS52="","",IF(OR(AND(CW52=0,CY52=0),AD52=$CT$17),"",IF(CQ53&gt;=CX52,CQ53,MIN(CQ53,CZ52))))</f>
      </c>
      <c r="DB52" s="406">
        <f>IF(CU52="","",IF(CQ53&gt;=CX52,"○","×"))</f>
      </c>
      <c r="DC52" s="406">
        <f>IF(DB52="","",IF(DB52="×","×",IF(AND(CW52=0,CY52=0),"○",IF(AND(CQ53&gt;=DA53,DA53&gt;=CX52),"○","×"))))</f>
      </c>
      <c r="DD52" s="475">
        <f>IF(AD52="","",AD52)</f>
      </c>
      <c r="DE52" s="283">
        <f>IF(AND(DA53="",DA52=""),"",MIN(DA53,DA52))</f>
      </c>
      <c r="DF52" s="284">
        <f>IF(DE52="",CQ53,IF(DA52="",DE52,IF(DA53="",DE52,IF(AND(DC52="×",DC53="×"),MIN(CZ53,CZ52,DA53,DA52),IF(DE52=DA53,IF(DC53="○",DA52,DA53),IF(DE52=DA52,IF(DC52="○",DA53,DA52)))))))</f>
      </c>
      <c r="DG52" s="285">
        <f>IF(CS52="","",IF(AND(CW52=0,CY52=0),"無視",IF(DF52&gt;=CU52,"上越し","下越し")))</f>
      </c>
      <c r="DH52" s="286"/>
      <c r="DI52" s="287"/>
      <c r="DJ52" s="11"/>
      <c r="DK52" s="218" t="s">
        <v>60</v>
      </c>
      <c r="DL52" s="288" t="s">
        <v>16</v>
      </c>
      <c r="DM52" s="289" t="s">
        <v>61</v>
      </c>
      <c r="DN52" s="288" t="s">
        <v>16</v>
      </c>
      <c r="DO52" s="289"/>
      <c r="DP52" s="290"/>
      <c r="DQ52" s="291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</row>
    <row r="53" spans="1:148" ht="15" customHeight="1" thickBot="1">
      <c r="A53" s="168"/>
      <c r="B53" s="58"/>
      <c r="C53" s="59"/>
      <c r="D53" s="588"/>
      <c r="E53" s="863"/>
      <c r="F53" s="864"/>
      <c r="G53" s="15">
        <f>$F$6</f>
        <v>0.1</v>
      </c>
      <c r="H53" s="16"/>
      <c r="I53" s="17">
        <f>IF(H53="","",IF(K53&lt;50,$I$8,IF(K53&lt;120,$I$9,$I$10)))</f>
      </c>
      <c r="J53" s="435">
        <f>IF(H53="","",H53-I53-G53)</f>
      </c>
      <c r="K53" s="436"/>
      <c r="L53" s="437">
        <f>IF(K53="","",IF(K53&lt;50,$I$12,IF(K53&lt;120,$I$13,$I$14)))</f>
      </c>
      <c r="M53" s="438">
        <f>IF(K53="","",ROUND(H53-I53-G53-K53*L53/100,3))</f>
      </c>
      <c r="N53" s="21"/>
      <c r="O53" s="18">
        <f>IF(AND(M53="",M52=""),"",MIN(M53,M52))</f>
      </c>
      <c r="P53" s="22">
        <f>IF(N53="","",$F$16)</f>
      </c>
      <c r="Q53" s="410">
        <f>IF(N53="","",N53-O53+P53)</f>
      </c>
      <c r="R53" s="21"/>
      <c r="S53" s="567">
        <f>IF(R53="","",$AX$7)</f>
      </c>
      <c r="T53" s="23">
        <f>IF(R53="","",DK53)</f>
      </c>
      <c r="U53" s="16"/>
      <c r="V53" s="16"/>
      <c r="W53" s="567">
        <f>IF(U53="","",$AX$8)</f>
      </c>
      <c r="X53" s="23">
        <f>+DM53</f>
      </c>
      <c r="Y53" s="447"/>
      <c r="Z53" s="448"/>
      <c r="AA53" s="449"/>
      <c r="AB53" s="450"/>
      <c r="AC53" s="450"/>
      <c r="AD53" s="451"/>
      <c r="AE53" s="574">
        <f>IF(AC53="","",$AX$9)</f>
      </c>
      <c r="AF53" s="574">
        <f>IF(AC53="","",$AX$10)</f>
      </c>
      <c r="AG53" s="489">
        <f>IF(AB53="","",IF(CQ53&gt;=CX53,"○","×"))</f>
      </c>
      <c r="AH53" s="490">
        <f>IF(AG53="","",ROUND(CQ53-AS53/1000-CV53,3))</f>
      </c>
      <c r="AI53" s="491">
        <f>IF(AG53="","",IF(AG53="×","×",IF(OR(AD52="",AD52=$CT$17),AG53,IF(AND(CQ53&gt;=DA52,DA52&gt;=CX53),"○","×"))))</f>
      </c>
      <c r="AJ53" s="504"/>
      <c r="AK53" s="512"/>
      <c r="AL53" s="463">
        <f>+DG53</f>
      </c>
      <c r="AM53" s="464">
        <f>+DO53</f>
      </c>
      <c r="AN53" s="25">
        <f>IF(OR(AO53="",AQ53="",AP53=""),"",DF52)</f>
      </c>
      <c r="AO53" s="24"/>
      <c r="AP53" s="19"/>
      <c r="AQ53" s="19"/>
      <c r="AR53" s="22">
        <f>IF(AO53="","",VLOOKUP(AO53,$AO$7:$AQ$12,2,0))</f>
      </c>
      <c r="AS53" s="22">
        <f>IF(AO53="","",VLOOKUP(AO53,$AO$7:$AQ$12,3,0))</f>
      </c>
      <c r="AT53" s="20">
        <f>IF(AN53="","",AN53-AQ53*AP53/100)</f>
      </c>
      <c r="AU53" s="26">
        <f>IF(DF52="","",IF(Q53&gt;=$F$18,Q53,$F$18))</f>
      </c>
      <c r="AV53" s="27">
        <f>IF(AN53="","",N53-DF52)</f>
      </c>
      <c r="AW53" s="611">
        <f>IF(AU53&gt;AV53,AU53,AV53)</f>
      </c>
      <c r="AX53" s="28">
        <f>IF(AU53="","",IF((AV53-AU53)&lt;VLOOKUP(VALUE(RIGHT(AO53,3)),$AW$16:$AX$17,2,0),"標準","ドロップ"))</f>
      </c>
      <c r="AY53" s="591">
        <f>IF(Q53="","",DH53)</f>
      </c>
      <c r="AZ53" s="602"/>
      <c r="BA53" s="20">
        <f>IF(AT53="","",AT53-AZ53)</f>
      </c>
      <c r="BB53" s="29"/>
      <c r="BC53" s="30"/>
      <c r="BD53" s="11"/>
      <c r="BE53" s="377">
        <f t="shared" si="4"/>
      </c>
      <c r="BF53" s="378">
        <f t="shared" si="4"/>
      </c>
      <c r="BG53" s="379">
        <f t="shared" si="4"/>
      </c>
      <c r="BH53" s="865">
        <f>IF(E53&lt;&gt;"",E53,"")</f>
      </c>
      <c r="BI53" s="866"/>
      <c r="BJ53" s="292">
        <f>IF(N53&lt;&gt;"",N53,"")</f>
      </c>
      <c r="BK53" s="293">
        <f>'様式１０号'!AU53</f>
      </c>
      <c r="BL53" s="294">
        <f>'様式１０号'!AV53</f>
      </c>
      <c r="BM53" s="295">
        <f>+AX53</f>
      </c>
      <c r="BN53" s="296">
        <f>'様式１０号'!AY53</f>
      </c>
      <c r="BO53" s="297">
        <f>'様式１０号'!AN53</f>
      </c>
      <c r="BP53" s="298">
        <f>IF(AO53&lt;&gt;"",AO53,"")</f>
      </c>
      <c r="BQ53" s="299">
        <f>IF(AQ53&lt;&gt;"",AQ53,"")</f>
      </c>
      <c r="BR53" s="299">
        <f>IF(AP53&lt;&gt;"",AP53,"")</f>
      </c>
      <c r="BS53" s="300">
        <f>IF(BO53="","",BO53-BQ53*BR53/100)</f>
      </c>
      <c r="BT53" s="301">
        <f>IF(R53&lt;&gt;"",R53,"")</f>
      </c>
      <c r="BU53" s="302">
        <v>0.5</v>
      </c>
      <c r="BV53" s="297">
        <f>IF(BO53="","",ROUND(BO53-BU53*BR53/100,3))</f>
      </c>
      <c r="BW53" s="303">
        <v>0.1</v>
      </c>
      <c r="BX53" s="304">
        <f>IF(OR(BV53="",CH53="簡易推進"),"",ROUND(BT53-BV53+BW53,2))</f>
      </c>
      <c r="BY53" s="305"/>
      <c r="BZ53" s="306">
        <f>IF(BX53="","",IF(AND(BX53&lt;=1.5,BY53=""),"",IF(BX53+0.2&lt;=1.5,1.5,IF(BX53+0.2&lt;=2,2,IF(BX53+0.2&lt;=2.5,2.5)))))</f>
      </c>
      <c r="CA53" s="307"/>
      <c r="CB53" s="308">
        <f>IF(BZ53="","",IF(BX53&lt;=$CB$26,CA53,""))</f>
      </c>
      <c r="CC53" s="309">
        <f>IF(BZ53="","",IF(AND(BX53&gt;$CB$26,BX53&lt;=$CC$26),CA53,""))</f>
      </c>
      <c r="CD53" s="310">
        <f>IF(BZ53="","",IF(BX53&lt;=$CC$26,"",IF(AND(BX53&gt;$CC$26,BX53&lt;=$CD$26),CA53,"")))</f>
      </c>
      <c r="CE53" s="311"/>
      <c r="CF53" s="312"/>
      <c r="CG53" s="313"/>
      <c r="CH53" s="314"/>
      <c r="CI53" s="315"/>
      <c r="CK53" s="415">
        <f>E53</f>
        <v>0</v>
      </c>
      <c r="CL53" s="182"/>
      <c r="CM53" s="316">
        <f>IF(O53="","",O53-P53)</f>
      </c>
      <c r="CN53" s="317">
        <f>IF(O53="","",N53-CN52)</f>
      </c>
      <c r="CO53" s="317">
        <f>IF(AO53="","",IF(R53="","",R53-CO52-AS53/1000-AR53/1000))</f>
      </c>
      <c r="CP53" s="318">
        <f>IF(U53="","",U53-CP52-AS53/1000-AR53/1000+V53*AP53/100)</f>
      </c>
      <c r="CQ53" s="319">
        <f>IF(O53="","",MIN(CM53,CN53,CO53,CP53))</f>
      </c>
      <c r="CR53" s="390">
        <f>IF(Y53="","",Y53)</f>
      </c>
      <c r="CS53" s="320">
        <f>IF(OR(AA53="",AB53="",AC53="",AQ53&lt;AB53),"",IF(Z53="土被り",R53-AA53-AC53,IF(Z53="標高",AA53)))</f>
      </c>
      <c r="CT53" s="468">
        <f>IF(CS53="","",CS53+AC53)</f>
      </c>
      <c r="CU53" s="469">
        <f>IF(CS53="","",CS53+AB53*AP53/100)</f>
      </c>
      <c r="CV53" s="321">
        <f>IF(CT53="","",CT53+AB53*AP53/100)</f>
      </c>
      <c r="CW53" s="459">
        <f>AE53</f>
      </c>
      <c r="CX53" s="322">
        <f>IF(CS53="","",CV53+CW53+AS53/1000)</f>
      </c>
      <c r="CY53" s="460">
        <f>AF53</f>
      </c>
      <c r="CZ53" s="323">
        <f>IF(CS53="","",CU53-CY53-AS53/1000-AR53/1000)</f>
      </c>
      <c r="DA53" s="324">
        <f>IF(CS53="","",IF(OR(AD53=$CT$17,AND(CW53=0,CY53=0)),"",IF(CQ53&gt;=CX53,CQ53,MIN(CQ53,CZ53))))</f>
      </c>
      <c r="DB53" s="407">
        <f>IF(CU53="","",IF(CQ53&gt;=CX53,"○","×"))</f>
      </c>
      <c r="DC53" s="407">
        <f>IF(DA52="",DB53,IF(DB53="×","×",IF(AND(CW53=0,CY53=0),"○",IF(AND(CQ53&gt;=DA52,DA52&gt;=CX53),"○","×"))))</f>
      </c>
      <c r="DD53" s="475">
        <f>IF(AD53="","",AD53)</f>
      </c>
      <c r="DE53" s="325"/>
      <c r="DF53" s="326"/>
      <c r="DG53" s="322">
        <f>IF(CS53="","",IF(AND(CW53=0,CY53=0),"無視",IF(DF52&gt;=CU53,"上越し","下越し")))</f>
      </c>
      <c r="DH53" s="325" t="str">
        <f>IF(DF52=CQ53,CQ52,IF(CZ53=DF52,CR53&amp;DG53,CR52&amp;DG52))</f>
        <v>宅内配管</v>
      </c>
      <c r="DI53" s="327"/>
      <c r="DJ53" s="11"/>
      <c r="DK53" s="328">
        <f>IF(AN53="","",R53-DF52-AR53/1000-AS53/1000)</f>
      </c>
      <c r="DL53" s="254">
        <f>IF(U53="","",DF52-V53*AP53/100)</f>
      </c>
      <c r="DM53" s="329">
        <f>IF(U53="","",U53-DL53-AR53/1000-AS53/1000)</f>
      </c>
      <c r="DN53" s="254">
        <f>IF(CS53="","",DF52-AB53*AP53/100)</f>
      </c>
      <c r="DO53" s="330">
        <f>IF(CS53="","",IF(CS53&gt;=DN53,CS53-DN53-AR53/1000-AS53/1000,DN53-CT53-AS53/1000))</f>
      </c>
      <c r="DP53" s="331">
        <f>IF(CS52="","",DF52-AB52*AP53/100)</f>
      </c>
      <c r="DQ53" s="332">
        <f>IF(CS52="","",IF(CS52&gt;=DP53,CS52-DP53-AR53/1000-AS53/1000,DP53-CT52-AS53/1000))</f>
      </c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</row>
    <row r="54" spans="1:148" ht="15" customHeight="1">
      <c r="A54" s="168"/>
      <c r="B54" s="31"/>
      <c r="C54" s="32"/>
      <c r="D54" s="33"/>
      <c r="E54" s="34"/>
      <c r="F54" s="35"/>
      <c r="G54" s="6"/>
      <c r="H54" s="7"/>
      <c r="I54" s="8"/>
      <c r="J54" s="7"/>
      <c r="K54" s="36"/>
      <c r="L54" s="36"/>
      <c r="M54" s="12"/>
      <c r="N54" s="9"/>
      <c r="O54" s="7"/>
      <c r="P54" s="37"/>
      <c r="Q54" s="411"/>
      <c r="R54" s="9"/>
      <c r="S54" s="13"/>
      <c r="T54" s="7"/>
      <c r="U54" s="7"/>
      <c r="V54" s="7"/>
      <c r="W54" s="7"/>
      <c r="X54" s="7"/>
      <c r="Y54" s="38"/>
      <c r="Z54" s="8"/>
      <c r="AA54" s="13"/>
      <c r="AB54" s="7"/>
      <c r="AC54" s="7"/>
      <c r="AD54" s="7"/>
      <c r="AE54" s="37"/>
      <c r="AF54" s="37"/>
      <c r="AG54" s="493"/>
      <c r="AH54" s="494"/>
      <c r="AI54" s="493"/>
      <c r="AJ54" s="495"/>
      <c r="AK54" s="513"/>
      <c r="AL54" s="102"/>
      <c r="AM54" s="418"/>
      <c r="AN54" s="9"/>
      <c r="AO54" s="7"/>
      <c r="AP54" s="36"/>
      <c r="AQ54" s="7"/>
      <c r="AR54" s="7"/>
      <c r="AS54" s="7"/>
      <c r="AT54" s="12"/>
      <c r="AU54" s="39"/>
      <c r="AV54" s="40"/>
      <c r="AW54" s="612"/>
      <c r="AX54" s="38"/>
      <c r="AY54" s="592"/>
      <c r="AZ54" s="600"/>
      <c r="BA54" s="589"/>
      <c r="BB54" s="6"/>
      <c r="BC54" s="14"/>
      <c r="BD54" s="11"/>
      <c r="BE54" s="333"/>
      <c r="BF54" s="334"/>
      <c r="BG54" s="335"/>
      <c r="BH54" s="336"/>
      <c r="BI54" s="337"/>
      <c r="BJ54" s="258"/>
      <c r="BK54" s="338"/>
      <c r="BL54" s="339"/>
      <c r="BM54" s="200"/>
      <c r="BN54" s="261"/>
      <c r="BO54" s="259"/>
      <c r="BP54" s="262"/>
      <c r="BQ54" s="262"/>
      <c r="BR54" s="340"/>
      <c r="BS54" s="264"/>
      <c r="BT54" s="259"/>
      <c r="BU54" s="264"/>
      <c r="BV54" s="259"/>
      <c r="BW54" s="260"/>
      <c r="BX54" s="200"/>
      <c r="BY54" s="341"/>
      <c r="BZ54" s="267"/>
      <c r="CA54" s="268"/>
      <c r="CB54" s="269"/>
      <c r="CC54" s="270"/>
      <c r="CD54" s="271"/>
      <c r="CE54" s="272"/>
      <c r="CF54" s="270"/>
      <c r="CG54" s="267"/>
      <c r="CH54" s="273"/>
      <c r="CI54" s="83"/>
      <c r="CL54" s="182"/>
      <c r="CM54" s="343"/>
      <c r="CN54" s="344"/>
      <c r="CO54" s="344"/>
      <c r="CP54" s="344"/>
      <c r="CQ54" s="344"/>
      <c r="CR54" s="391"/>
      <c r="CS54" s="344"/>
      <c r="CT54" s="470"/>
      <c r="CU54" s="471"/>
      <c r="CV54" s="344"/>
      <c r="CW54" s="345"/>
      <c r="CX54" s="344"/>
      <c r="CY54" s="344"/>
      <c r="CZ54" s="346"/>
      <c r="DA54" s="344"/>
      <c r="DB54" s="408"/>
      <c r="DC54" s="408"/>
      <c r="DD54" s="408"/>
      <c r="DE54" s="344"/>
      <c r="DF54" s="344"/>
      <c r="DG54" s="344"/>
      <c r="DH54" s="344"/>
      <c r="DI54" s="347"/>
      <c r="DJ54" s="11"/>
      <c r="DK54" s="343"/>
      <c r="DL54" s="345"/>
      <c r="DM54" s="346"/>
      <c r="DN54" s="345"/>
      <c r="DO54" s="346"/>
      <c r="DP54" s="344"/>
      <c r="DQ54" s="347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</row>
    <row r="55" spans="1:148" ht="15" customHeight="1" thickBot="1">
      <c r="A55" s="168"/>
      <c r="B55" s="41"/>
      <c r="C55" s="42"/>
      <c r="D55" s="43"/>
      <c r="E55" s="44"/>
      <c r="F55" s="45"/>
      <c r="G55" s="46"/>
      <c r="H55" s="47"/>
      <c r="I55" s="48"/>
      <c r="J55" s="47"/>
      <c r="K55" s="49"/>
      <c r="L55" s="49"/>
      <c r="M55" s="50"/>
      <c r="N55" s="51"/>
      <c r="O55" s="47"/>
      <c r="P55" s="52"/>
      <c r="Q55" s="412"/>
      <c r="R55" s="51"/>
      <c r="S55" s="54"/>
      <c r="T55" s="47"/>
      <c r="U55" s="47"/>
      <c r="V55" s="47"/>
      <c r="W55" s="47"/>
      <c r="X55" s="47"/>
      <c r="Y55" s="53"/>
      <c r="Z55" s="48"/>
      <c r="AA55" s="54"/>
      <c r="AB55" s="47"/>
      <c r="AC55" s="47"/>
      <c r="AD55" s="47"/>
      <c r="AE55" s="52"/>
      <c r="AF55" s="52"/>
      <c r="AG55" s="496"/>
      <c r="AH55" s="497"/>
      <c r="AI55" s="496"/>
      <c r="AJ55" s="498"/>
      <c r="AK55" s="514"/>
      <c r="AL55" s="162"/>
      <c r="AM55" s="419"/>
      <c r="AN55" s="51"/>
      <c r="AO55" s="47"/>
      <c r="AP55" s="49"/>
      <c r="AQ55" s="47"/>
      <c r="AR55" s="47"/>
      <c r="AS55" s="47"/>
      <c r="AT55" s="50"/>
      <c r="AU55" s="55"/>
      <c r="AV55" s="56"/>
      <c r="AW55" s="613"/>
      <c r="AX55" s="53"/>
      <c r="AY55" s="593"/>
      <c r="AZ55" s="601"/>
      <c r="BA55" s="590"/>
      <c r="BB55" s="46"/>
      <c r="BC55" s="57"/>
      <c r="BD55" s="11"/>
      <c r="BE55" s="348"/>
      <c r="BF55" s="349"/>
      <c r="BG55" s="350"/>
      <c r="BH55" s="380"/>
      <c r="BI55" s="381"/>
      <c r="BJ55" s="353"/>
      <c r="BK55" s="354"/>
      <c r="BL55" s="355"/>
      <c r="BM55" s="356"/>
      <c r="BN55" s="357"/>
      <c r="BO55" s="358"/>
      <c r="BP55" s="359"/>
      <c r="BQ55" s="359"/>
      <c r="BR55" s="360"/>
      <c r="BS55" s="361"/>
      <c r="BT55" s="358"/>
      <c r="BU55" s="361"/>
      <c r="BV55" s="358"/>
      <c r="BW55" s="362"/>
      <c r="BX55" s="356"/>
      <c r="BY55" s="363"/>
      <c r="BZ55" s="364"/>
      <c r="CA55" s="365"/>
      <c r="CB55" s="366"/>
      <c r="CC55" s="367"/>
      <c r="CD55" s="368"/>
      <c r="CE55" s="382"/>
      <c r="CF55" s="367"/>
      <c r="CG55" s="364"/>
      <c r="CH55" s="370"/>
      <c r="CI55" s="371"/>
      <c r="CL55" s="182"/>
      <c r="CM55" s="372"/>
      <c r="CN55" s="373"/>
      <c r="CO55" s="373"/>
      <c r="CP55" s="373"/>
      <c r="CQ55" s="373"/>
      <c r="CR55" s="392"/>
      <c r="CS55" s="373"/>
      <c r="CT55" s="472"/>
      <c r="CU55" s="473"/>
      <c r="CV55" s="373"/>
      <c r="CW55" s="374"/>
      <c r="CX55" s="373"/>
      <c r="CY55" s="373"/>
      <c r="CZ55" s="375"/>
      <c r="DA55" s="373"/>
      <c r="DB55" s="409"/>
      <c r="DC55" s="409"/>
      <c r="DD55" s="409"/>
      <c r="DE55" s="373"/>
      <c r="DF55" s="373"/>
      <c r="DG55" s="373"/>
      <c r="DH55" s="373"/>
      <c r="DI55" s="376"/>
      <c r="DJ55" s="11"/>
      <c r="DK55" s="372"/>
      <c r="DL55" s="374"/>
      <c r="DM55" s="375"/>
      <c r="DN55" s="374"/>
      <c r="DO55" s="375"/>
      <c r="DP55" s="373"/>
      <c r="DQ55" s="376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</row>
    <row r="56" spans="1:148" ht="15" customHeight="1" thickBot="1">
      <c r="A56" s="168"/>
      <c r="B56" s="867">
        <f>IF(E57="","",B52)</f>
      </c>
      <c r="C56" s="868"/>
      <c r="D56" s="869"/>
      <c r="E56" s="870"/>
      <c r="F56" s="871"/>
      <c r="G56" s="6"/>
      <c r="H56" s="7"/>
      <c r="I56" s="8"/>
      <c r="J56" s="439"/>
      <c r="K56" s="440"/>
      <c r="L56" s="440"/>
      <c r="M56" s="441">
        <f>IF(J56="","",ROUND(J56-K56*L56/100,3))</f>
      </c>
      <c r="N56" s="9"/>
      <c r="O56" s="7"/>
      <c r="P56" s="7"/>
      <c r="Q56" s="411"/>
      <c r="R56" s="9"/>
      <c r="S56" s="13"/>
      <c r="T56" s="7"/>
      <c r="U56" s="7"/>
      <c r="V56" s="7"/>
      <c r="W56" s="7"/>
      <c r="X56" s="7"/>
      <c r="Y56" s="452"/>
      <c r="Z56" s="453"/>
      <c r="AA56" s="454"/>
      <c r="AB56" s="455"/>
      <c r="AC56" s="455"/>
      <c r="AD56" s="456"/>
      <c r="AE56" s="575">
        <f>IF(AC56="","",$AX$9)</f>
      </c>
      <c r="AF56" s="575">
        <f>IF(AC56="","",$AX$10)</f>
      </c>
      <c r="AG56" s="499">
        <f>IF(AB56="","",IF(CQ57&gt;=CX56,"○","×"))</f>
      </c>
      <c r="AH56" s="500">
        <f>IF(AG56="","",ROUND(CQ57-AS57/1000-CV56,3))</f>
      </c>
      <c r="AI56" s="501">
        <f>IF(AG56="","",IF(AG56="×","×",IF(OR(AD57="",AD57=$CT$17),AG56,IF(AND(CQ56&gt;=DA57,DA57&gt;=CX56),"○","×"))))</f>
      </c>
      <c r="AJ56" s="503"/>
      <c r="AK56" s="515"/>
      <c r="AL56" s="465">
        <f>+DG56</f>
      </c>
      <c r="AM56" s="466">
        <f>+DQ57</f>
      </c>
      <c r="AN56" s="9"/>
      <c r="AO56" s="7"/>
      <c r="AP56" s="10"/>
      <c r="AQ56" s="7"/>
      <c r="AR56" s="11"/>
      <c r="AS56" s="11"/>
      <c r="AT56" s="12"/>
      <c r="AU56" s="9"/>
      <c r="AV56" s="13"/>
      <c r="AW56" s="614"/>
      <c r="AX56" s="38"/>
      <c r="AY56" s="592"/>
      <c r="AZ56" s="600"/>
      <c r="BA56" s="589"/>
      <c r="BB56" s="6"/>
      <c r="BC56" s="14"/>
      <c r="BD56" s="11"/>
      <c r="BE56" s="872">
        <f aca="true" t="shared" si="5" ref="BE56:BG57">IF(B56&lt;&gt;"",B56,"")</f>
      </c>
      <c r="BF56" s="873"/>
      <c r="BG56" s="874"/>
      <c r="BH56" s="875">
        <f>IF(E56&lt;&gt;"",E56,"")</f>
      </c>
      <c r="BI56" s="876"/>
      <c r="BJ56" s="258"/>
      <c r="BK56" s="259"/>
      <c r="BL56" s="260"/>
      <c r="BM56" s="200"/>
      <c r="BN56" s="261"/>
      <c r="BO56" s="259"/>
      <c r="BP56" s="262"/>
      <c r="BQ56" s="262"/>
      <c r="BR56" s="263"/>
      <c r="BS56" s="264"/>
      <c r="BT56" s="265"/>
      <c r="BU56" s="266"/>
      <c r="BV56" s="259"/>
      <c r="BW56" s="260"/>
      <c r="BX56" s="200"/>
      <c r="BY56" s="341"/>
      <c r="BZ56" s="267"/>
      <c r="CA56" s="268"/>
      <c r="CB56" s="269"/>
      <c r="CC56" s="270"/>
      <c r="CD56" s="271"/>
      <c r="CE56" s="272"/>
      <c r="CF56" s="270"/>
      <c r="CG56" s="267"/>
      <c r="CH56" s="273"/>
      <c r="CI56" s="83"/>
      <c r="CL56" s="182"/>
      <c r="CM56" s="274"/>
      <c r="CN56" s="275">
        <f>$F$18</f>
        <v>0.85</v>
      </c>
      <c r="CO56" s="587">
        <f>S57</f>
      </c>
      <c r="CP56" s="276">
        <f>W57</f>
      </c>
      <c r="CQ56" s="277" t="str">
        <f>INDEX($CM$24:$CP$24,1,MATCH(CQ57,CM57:CP57,0))</f>
        <v>宅内配管</v>
      </c>
      <c r="CR56" s="389">
        <f>IF(Y56="","",Y56)</f>
      </c>
      <c r="CS56" s="278">
        <f>IF(OR(AA56="",AB56="",AC56="",AQ57&lt;AB56),"",IF(Z56="土被り",R57-AA56-AC56,IF(Z56="標高",AA56)))</f>
      </c>
      <c r="CT56" s="467">
        <f>IF(CS56="","",CS56+AC56)</f>
      </c>
      <c r="CU56" s="474">
        <f>IF(CS56="","",CS56+AB56*AP57/100)</f>
      </c>
      <c r="CV56" s="279">
        <f>IF(CT56="","",CT56+AB56*AP57/100)</f>
      </c>
      <c r="CW56" s="457">
        <f>AE56</f>
      </c>
      <c r="CX56" s="280">
        <f>IF(CS56="","",CV56+CW56+AS57/1000)</f>
      </c>
      <c r="CY56" s="458">
        <f>AF56</f>
      </c>
      <c r="CZ56" s="281">
        <f>IF(CS56="","",CU56-CY56-AS57/1000-AR57/1000)</f>
      </c>
      <c r="DA56" s="282">
        <f>IF(CS56="","",IF(OR(AND(CW56=0,CY56=0),AD56=$CT$17),"",IF(CQ57&gt;=CX56,CQ57,MIN(CQ57,CZ56))))</f>
      </c>
      <c r="DB56" s="406">
        <f>IF(CU56="","",IF(CQ57&gt;=CX56,"○","×"))</f>
      </c>
      <c r="DC56" s="406">
        <f>IF(DB56="","",IF(DB56="×","×",IF(AND(CW56=0,CY56=0),"○",IF(AND(CQ57&gt;=DA57,DA57&gt;=CX56),"○","×"))))</f>
      </c>
      <c r="DD56" s="475">
        <f>IF(AD56="","",AD56)</f>
      </c>
      <c r="DE56" s="283">
        <f>IF(AND(DA57="",DA56=""),"",MIN(DA57,DA56))</f>
      </c>
      <c r="DF56" s="284">
        <f>IF(DE56="",CQ57,IF(DA56="",DE56,IF(DA57="",DE56,IF(AND(DC56="×",DC57="×"),MIN(CZ57,CZ56,DA57,DA56),IF(DE56=DA57,IF(DC57="○",DA56,DA57),IF(DE56=DA56,IF(DC56="○",DA57,DA56)))))))</f>
      </c>
      <c r="DG56" s="285">
        <f>IF(CS56="","",IF(AND(CW56=0,CY56=0),"無視",IF(DF56&gt;=CU56,"上越し","下越し")))</f>
      </c>
      <c r="DH56" s="286"/>
      <c r="DI56" s="287"/>
      <c r="DJ56" s="11"/>
      <c r="DK56" s="218" t="s">
        <v>60</v>
      </c>
      <c r="DL56" s="288" t="s">
        <v>16</v>
      </c>
      <c r="DM56" s="289" t="s">
        <v>61</v>
      </c>
      <c r="DN56" s="288" t="s">
        <v>16</v>
      </c>
      <c r="DO56" s="289"/>
      <c r="DP56" s="290"/>
      <c r="DQ56" s="291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</row>
    <row r="57" spans="1:148" ht="15" customHeight="1" thickBot="1">
      <c r="A57" s="168"/>
      <c r="B57" s="58"/>
      <c r="C57" s="59"/>
      <c r="D57" s="588"/>
      <c r="E57" s="863"/>
      <c r="F57" s="864"/>
      <c r="G57" s="15">
        <f>$F$6</f>
        <v>0.1</v>
      </c>
      <c r="H57" s="16"/>
      <c r="I57" s="17">
        <f>IF(H57="","",IF(K57&lt;50,$I$8,IF(K57&lt;120,$I$9,$I$10)))</f>
      </c>
      <c r="J57" s="435">
        <f>IF(H57="","",H57-I57-G57)</f>
      </c>
      <c r="K57" s="436"/>
      <c r="L57" s="437">
        <f>IF(K57="","",IF(K57&lt;50,$I$12,IF(K57&lt;120,$I$13,$I$14)))</f>
      </c>
      <c r="M57" s="438">
        <f>IF(K57="","",ROUND(H57-I57-G57-K57*L57/100,3))</f>
      </c>
      <c r="N57" s="21"/>
      <c r="O57" s="18">
        <f>IF(AND(M57="",M56=""),"",MIN(M57,M56))</f>
      </c>
      <c r="P57" s="22">
        <f>IF(N57="","",$F$16)</f>
      </c>
      <c r="Q57" s="410">
        <f>IF(N57="","",N57-O57+P57)</f>
      </c>
      <c r="R57" s="21"/>
      <c r="S57" s="567">
        <f>IF(R57="","",$AX$7)</f>
      </c>
      <c r="T57" s="23">
        <f>IF(R57="","",DK57)</f>
      </c>
      <c r="U57" s="16"/>
      <c r="V57" s="16"/>
      <c r="W57" s="567">
        <f>IF(U57="","",$AX$8)</f>
      </c>
      <c r="X57" s="23">
        <f>+DM57</f>
      </c>
      <c r="Y57" s="447"/>
      <c r="Z57" s="448"/>
      <c r="AA57" s="449"/>
      <c r="AB57" s="450"/>
      <c r="AC57" s="450"/>
      <c r="AD57" s="451"/>
      <c r="AE57" s="574">
        <f>IF(AC57="","",$AX$9)</f>
      </c>
      <c r="AF57" s="574">
        <f>IF(AC57="","",$AX$10)</f>
      </c>
      <c r="AG57" s="489">
        <f>IF(AB57="","",IF(CQ57&gt;=CX57,"○","×"))</f>
      </c>
      <c r="AH57" s="490">
        <f>IF(AG57="","",ROUND(CQ57-AS57/1000-CV57,3))</f>
      </c>
      <c r="AI57" s="491">
        <f>IF(AG57="","",IF(AG57="×","×",IF(OR(AD56="",AD56=$CT$17),AG57,IF(AND(CQ57&gt;=DA56,DA56&gt;=CX57),"○","×"))))</f>
      </c>
      <c r="AJ57" s="504"/>
      <c r="AK57" s="512"/>
      <c r="AL57" s="463">
        <f>+DG57</f>
      </c>
      <c r="AM57" s="464">
        <f>+DO57</f>
      </c>
      <c r="AN57" s="25">
        <f>IF(OR(AO57="",AQ57="",AP57=""),"",DF56)</f>
      </c>
      <c r="AO57" s="24"/>
      <c r="AP57" s="19"/>
      <c r="AQ57" s="19"/>
      <c r="AR57" s="22">
        <f>IF(AO57="","",VLOOKUP(AO57,$AO$7:$AQ$12,2,0))</f>
      </c>
      <c r="AS57" s="22">
        <f>IF(AO57="","",VLOOKUP(AO57,$AO$7:$AQ$12,3,0))</f>
      </c>
      <c r="AT57" s="20">
        <f>IF(AN57="","",AN57-AQ57*AP57/100)</f>
      </c>
      <c r="AU57" s="26">
        <f>IF(DF56="","",IF(Q57&gt;=$F$18,Q57,$F$18))</f>
      </c>
      <c r="AV57" s="27">
        <f>IF(AN57="","",N57-DF56)</f>
      </c>
      <c r="AW57" s="611">
        <f>IF(AU57&gt;AV57,AU57,AV57)</f>
      </c>
      <c r="AX57" s="28">
        <f>IF(AU57="","",IF((AV57-AU57)&lt;VLOOKUP(VALUE(RIGHT(AO57,3)),$AW$16:$AX$17,2,0),"標準","ドロップ"))</f>
      </c>
      <c r="AY57" s="591">
        <f>IF(Q57="","",DH57)</f>
      </c>
      <c r="AZ57" s="602"/>
      <c r="BA57" s="20">
        <f>IF(AT57="","",AT57-AZ57)</f>
      </c>
      <c r="BB57" s="29"/>
      <c r="BC57" s="30"/>
      <c r="BD57" s="11"/>
      <c r="BE57" s="377">
        <f t="shared" si="5"/>
      </c>
      <c r="BF57" s="378">
        <f t="shared" si="5"/>
      </c>
      <c r="BG57" s="379">
        <f t="shared" si="5"/>
      </c>
      <c r="BH57" s="865">
        <f>IF(E57&lt;&gt;"",E57,"")</f>
      </c>
      <c r="BI57" s="866"/>
      <c r="BJ57" s="292">
        <f>IF(N57&lt;&gt;"",N57,"")</f>
      </c>
      <c r="BK57" s="293">
        <f>'様式１０号'!AU57</f>
      </c>
      <c r="BL57" s="294">
        <f>'様式１０号'!AV57</f>
      </c>
      <c r="BM57" s="295">
        <f>+AX57</f>
      </c>
      <c r="BN57" s="296">
        <f>'様式１０号'!AY57</f>
      </c>
      <c r="BO57" s="297">
        <f>'様式１０号'!AN57</f>
      </c>
      <c r="BP57" s="298">
        <f>IF(AO57&lt;&gt;"",AO57,"")</f>
      </c>
      <c r="BQ57" s="299">
        <f>IF(AQ57&lt;&gt;"",AQ57,"")</f>
      </c>
      <c r="BR57" s="299">
        <f>IF(AP57&lt;&gt;"",AP57,"")</f>
      </c>
      <c r="BS57" s="300">
        <f>IF(BO57="","",BO57-BQ57*BR57/100)</f>
      </c>
      <c r="BT57" s="301">
        <f>IF(R57&lt;&gt;"",R57,"")</f>
      </c>
      <c r="BU57" s="302">
        <v>0.5</v>
      </c>
      <c r="BV57" s="297">
        <f>IF(BO57="","",ROUND(BO57-BU57*BR57/100,3))</f>
      </c>
      <c r="BW57" s="303">
        <v>0.1</v>
      </c>
      <c r="BX57" s="304">
        <f>IF(OR(BV57="",CH57="簡易推進"),"",ROUND(BT57-BV57+BW57,2))</f>
      </c>
      <c r="BY57" s="305"/>
      <c r="BZ57" s="306">
        <f>IF(BX57="","",IF(AND(BX57&lt;=1.5,BY57=""),"",IF(BX57+0.2&lt;=1.5,1.5,IF(BX57+0.2&lt;=2,2,IF(BX57+0.2&lt;=2.5,2.5)))))</f>
      </c>
      <c r="CA57" s="307"/>
      <c r="CB57" s="308">
        <f>IF(BZ57="","",IF(BX57&lt;=$CB$26,CA57,""))</f>
      </c>
      <c r="CC57" s="309">
        <f>IF(BZ57="","",IF(AND(BX57&gt;$CB$26,BX57&lt;=$CC$26),CA57,""))</f>
      </c>
      <c r="CD57" s="310">
        <f>IF(BZ57="","",IF(BX57&lt;=$CC$26,"",IF(AND(BX57&gt;$CC$26,BX57&lt;=$CD$26),CA57,"")))</f>
      </c>
      <c r="CE57" s="311"/>
      <c r="CF57" s="312"/>
      <c r="CG57" s="313"/>
      <c r="CH57" s="314"/>
      <c r="CI57" s="315"/>
      <c r="CK57" s="415">
        <f>E57</f>
        <v>0</v>
      </c>
      <c r="CL57" s="182"/>
      <c r="CM57" s="316">
        <f>IF(O57="","",O57-P57)</f>
      </c>
      <c r="CN57" s="317">
        <f>IF(O57="","",N57-CN56)</f>
      </c>
      <c r="CO57" s="317">
        <f>IF(AO57="","",IF(R57="","",R57-CO56-AS57/1000-AR57/1000))</f>
      </c>
      <c r="CP57" s="318">
        <f>IF(U57="","",U57-CP56-AS57/1000-AR57/1000+V57*AP57/100)</f>
      </c>
      <c r="CQ57" s="319">
        <f>IF(O57="","",MIN(CM57,CN57,CO57,CP57))</f>
      </c>
      <c r="CR57" s="390">
        <f>IF(Y57="","",Y57)</f>
      </c>
      <c r="CS57" s="320">
        <f>IF(OR(AA57="",AB57="",AC57="",AQ57&lt;AB57),"",IF(Z57="土被り",R57-AA57-AC57,IF(Z57="標高",AA57)))</f>
      </c>
      <c r="CT57" s="468">
        <f>IF(CS57="","",CS57+AC57)</f>
      </c>
      <c r="CU57" s="469">
        <f>IF(CS57="","",CS57+AB57*AP57/100)</f>
      </c>
      <c r="CV57" s="321">
        <f>IF(CT57="","",CT57+AB57*AP57/100)</f>
      </c>
      <c r="CW57" s="459">
        <f>AE57</f>
      </c>
      <c r="CX57" s="322">
        <f>IF(CS57="","",CV57+CW57+AS57/1000)</f>
      </c>
      <c r="CY57" s="460">
        <f>AF57</f>
      </c>
      <c r="CZ57" s="323">
        <f>IF(CS57="","",CU57-CY57-AS57/1000-AR57/1000)</f>
      </c>
      <c r="DA57" s="324">
        <f>IF(CS57="","",IF(OR(AD57=$CT$17,AND(CW57=0,CY57=0)),"",IF(CQ57&gt;=CX57,CQ57,MIN(CQ57,CZ57))))</f>
      </c>
      <c r="DB57" s="407">
        <f>IF(CU57="","",IF(CQ57&gt;=CX57,"○","×"))</f>
      </c>
      <c r="DC57" s="407">
        <f>IF(DA56="",DB57,IF(DB57="×","×",IF(AND(CW57=0,CY57=0),"○",IF(AND(CQ57&gt;=DA56,DA56&gt;=CX57),"○","×"))))</f>
      </c>
      <c r="DD57" s="475">
        <f>IF(AD57="","",AD57)</f>
      </c>
      <c r="DE57" s="325"/>
      <c r="DF57" s="326"/>
      <c r="DG57" s="322">
        <f>IF(CS57="","",IF(AND(CW57=0,CY57=0),"無視",IF(DF56&gt;=CU57,"上越し","下越し")))</f>
      </c>
      <c r="DH57" s="325" t="str">
        <f>IF(DF56=CQ57,CQ56,IF(CZ57=DF56,CR57&amp;DG57,CR56&amp;DG56))</f>
        <v>宅内配管</v>
      </c>
      <c r="DI57" s="327"/>
      <c r="DJ57" s="11"/>
      <c r="DK57" s="328">
        <f>IF(AN57="","",R57-DF56-AR57/1000-AS57/1000)</f>
      </c>
      <c r="DL57" s="254">
        <f>IF(U57="","",DF56-V57*AP57/100)</f>
      </c>
      <c r="DM57" s="329">
        <f>IF(U57="","",U57-DL57-AR57/1000-AS57/1000)</f>
      </c>
      <c r="DN57" s="254">
        <f>IF(CS57="","",DF56-AB57*AP57/100)</f>
      </c>
      <c r="DO57" s="330">
        <f>IF(CS57="","",IF(CS57&gt;=DN57,CS57-DN57-AR57/1000-AS57/1000,DN57-CT57-AS57/1000))</f>
      </c>
      <c r="DP57" s="331">
        <f>IF(CS56="","",DF56-AB56*AP57/100)</f>
      </c>
      <c r="DQ57" s="332">
        <f>IF(CS56="","",IF(CS56&gt;=DP57,CS56-DP57-AR57/1000-AS57/1000,DP57-CT56-AS57/1000))</f>
      </c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</row>
    <row r="58" spans="1:148" ht="15" customHeight="1">
      <c r="A58" s="168"/>
      <c r="B58" s="31"/>
      <c r="C58" s="32"/>
      <c r="D58" s="33"/>
      <c r="E58" s="34"/>
      <c r="F58" s="35"/>
      <c r="G58" s="6"/>
      <c r="H58" s="7"/>
      <c r="I58" s="8"/>
      <c r="J58" s="7"/>
      <c r="K58" s="36"/>
      <c r="L58" s="36"/>
      <c r="M58" s="12"/>
      <c r="N58" s="9"/>
      <c r="O58" s="7"/>
      <c r="P58" s="37"/>
      <c r="Q58" s="411"/>
      <c r="R58" s="9"/>
      <c r="S58" s="13"/>
      <c r="T58" s="7"/>
      <c r="U58" s="7"/>
      <c r="V58" s="7"/>
      <c r="W58" s="7"/>
      <c r="X58" s="7"/>
      <c r="Y58" s="38"/>
      <c r="Z58" s="8"/>
      <c r="AA58" s="13"/>
      <c r="AB58" s="7"/>
      <c r="AC58" s="7"/>
      <c r="AD58" s="7"/>
      <c r="AE58" s="37"/>
      <c r="AF58" s="37"/>
      <c r="AG58" s="493"/>
      <c r="AH58" s="494"/>
      <c r="AI58" s="493"/>
      <c r="AJ58" s="495"/>
      <c r="AK58" s="513"/>
      <c r="AL58" s="102"/>
      <c r="AM58" s="418"/>
      <c r="AN58" s="9"/>
      <c r="AO58" s="7"/>
      <c r="AP58" s="36"/>
      <c r="AQ58" s="7"/>
      <c r="AR58" s="7"/>
      <c r="AS58" s="7"/>
      <c r="AT58" s="12"/>
      <c r="AU58" s="39"/>
      <c r="AV58" s="40"/>
      <c r="AW58" s="612"/>
      <c r="AX58" s="38"/>
      <c r="AY58" s="592"/>
      <c r="AZ58" s="600"/>
      <c r="BA58" s="589"/>
      <c r="BB58" s="6"/>
      <c r="BC58" s="14"/>
      <c r="BD58" s="11"/>
      <c r="BE58" s="333"/>
      <c r="BF58" s="334"/>
      <c r="BG58" s="335"/>
      <c r="BH58" s="336"/>
      <c r="BI58" s="337"/>
      <c r="BJ58" s="258"/>
      <c r="BK58" s="338"/>
      <c r="BL58" s="339"/>
      <c r="BM58" s="200"/>
      <c r="BN58" s="261"/>
      <c r="BO58" s="259"/>
      <c r="BP58" s="262"/>
      <c r="BQ58" s="262"/>
      <c r="BR58" s="340"/>
      <c r="BS58" s="264"/>
      <c r="BT58" s="259"/>
      <c r="BU58" s="264"/>
      <c r="BV58" s="259"/>
      <c r="BW58" s="260"/>
      <c r="BX58" s="200"/>
      <c r="BY58" s="341"/>
      <c r="BZ58" s="267"/>
      <c r="CA58" s="268"/>
      <c r="CB58" s="269"/>
      <c r="CC58" s="270"/>
      <c r="CD58" s="271"/>
      <c r="CE58" s="272"/>
      <c r="CF58" s="270"/>
      <c r="CG58" s="267"/>
      <c r="CH58" s="273"/>
      <c r="CI58" s="83"/>
      <c r="CL58" s="182"/>
      <c r="CM58" s="343"/>
      <c r="CN58" s="344"/>
      <c r="CO58" s="344"/>
      <c r="CP58" s="344"/>
      <c r="CQ58" s="344"/>
      <c r="CR58" s="391"/>
      <c r="CS58" s="344"/>
      <c r="CT58" s="470"/>
      <c r="CU58" s="471"/>
      <c r="CV58" s="344"/>
      <c r="CW58" s="345"/>
      <c r="CX58" s="344"/>
      <c r="CY58" s="344"/>
      <c r="CZ58" s="346"/>
      <c r="DA58" s="344"/>
      <c r="DB58" s="408"/>
      <c r="DC58" s="408"/>
      <c r="DD58" s="408"/>
      <c r="DE58" s="344"/>
      <c r="DF58" s="344"/>
      <c r="DG58" s="344"/>
      <c r="DH58" s="344"/>
      <c r="DI58" s="347"/>
      <c r="DJ58" s="11"/>
      <c r="DK58" s="343"/>
      <c r="DL58" s="345"/>
      <c r="DM58" s="346"/>
      <c r="DN58" s="345"/>
      <c r="DO58" s="346"/>
      <c r="DP58" s="344"/>
      <c r="DQ58" s="347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</row>
    <row r="59" spans="1:148" ht="15" customHeight="1" thickBot="1">
      <c r="A59" s="168"/>
      <c r="B59" s="41"/>
      <c r="C59" s="42"/>
      <c r="D59" s="43"/>
      <c r="E59" s="44"/>
      <c r="F59" s="45"/>
      <c r="G59" s="46"/>
      <c r="H59" s="47"/>
      <c r="I59" s="48"/>
      <c r="J59" s="47"/>
      <c r="K59" s="49"/>
      <c r="L59" s="49"/>
      <c r="M59" s="50"/>
      <c r="N59" s="51"/>
      <c r="O59" s="47"/>
      <c r="P59" s="52"/>
      <c r="Q59" s="412"/>
      <c r="R59" s="51"/>
      <c r="S59" s="54"/>
      <c r="T59" s="47"/>
      <c r="U59" s="47"/>
      <c r="V59" s="47"/>
      <c r="W59" s="47"/>
      <c r="X59" s="47"/>
      <c r="Y59" s="53"/>
      <c r="Z59" s="48"/>
      <c r="AA59" s="54"/>
      <c r="AB59" s="47"/>
      <c r="AC59" s="47"/>
      <c r="AD59" s="47"/>
      <c r="AE59" s="52"/>
      <c r="AF59" s="52"/>
      <c r="AG59" s="496"/>
      <c r="AH59" s="497"/>
      <c r="AI59" s="496"/>
      <c r="AJ59" s="498"/>
      <c r="AK59" s="514"/>
      <c r="AL59" s="162"/>
      <c r="AM59" s="419"/>
      <c r="AN59" s="51"/>
      <c r="AO59" s="47"/>
      <c r="AP59" s="49"/>
      <c r="AQ59" s="47"/>
      <c r="AR59" s="47"/>
      <c r="AS59" s="47"/>
      <c r="AT59" s="50"/>
      <c r="AU59" s="55"/>
      <c r="AV59" s="56"/>
      <c r="AW59" s="613"/>
      <c r="AX59" s="53"/>
      <c r="AY59" s="593"/>
      <c r="AZ59" s="601"/>
      <c r="BA59" s="590"/>
      <c r="BB59" s="46"/>
      <c r="BC59" s="57"/>
      <c r="BD59" s="11"/>
      <c r="BE59" s="348"/>
      <c r="BF59" s="349"/>
      <c r="BG59" s="350"/>
      <c r="BH59" s="380"/>
      <c r="BI59" s="381"/>
      <c r="BJ59" s="353"/>
      <c r="BK59" s="354"/>
      <c r="BL59" s="355"/>
      <c r="BM59" s="356"/>
      <c r="BN59" s="357"/>
      <c r="BO59" s="358"/>
      <c r="BP59" s="359"/>
      <c r="BQ59" s="359"/>
      <c r="BR59" s="360"/>
      <c r="BS59" s="361"/>
      <c r="BT59" s="358"/>
      <c r="BU59" s="361"/>
      <c r="BV59" s="358"/>
      <c r="BW59" s="362"/>
      <c r="BX59" s="356"/>
      <c r="BY59" s="363"/>
      <c r="BZ59" s="364"/>
      <c r="CA59" s="365"/>
      <c r="CB59" s="366"/>
      <c r="CC59" s="367"/>
      <c r="CD59" s="368"/>
      <c r="CE59" s="382"/>
      <c r="CF59" s="367"/>
      <c r="CG59" s="364"/>
      <c r="CH59" s="370"/>
      <c r="CI59" s="371"/>
      <c r="CL59" s="182"/>
      <c r="CM59" s="372"/>
      <c r="CN59" s="373"/>
      <c r="CO59" s="373"/>
      <c r="CP59" s="373"/>
      <c r="CQ59" s="373"/>
      <c r="CR59" s="392"/>
      <c r="CS59" s="373"/>
      <c r="CT59" s="472"/>
      <c r="CU59" s="473"/>
      <c r="CV59" s="373"/>
      <c r="CW59" s="374"/>
      <c r="CX59" s="373"/>
      <c r="CY59" s="373"/>
      <c r="CZ59" s="375"/>
      <c r="DA59" s="373"/>
      <c r="DB59" s="409"/>
      <c r="DC59" s="409"/>
      <c r="DD59" s="409"/>
      <c r="DE59" s="373"/>
      <c r="DF59" s="373"/>
      <c r="DG59" s="373"/>
      <c r="DH59" s="373"/>
      <c r="DI59" s="376"/>
      <c r="DJ59" s="11"/>
      <c r="DK59" s="372"/>
      <c r="DL59" s="374"/>
      <c r="DM59" s="375"/>
      <c r="DN59" s="374"/>
      <c r="DO59" s="375"/>
      <c r="DP59" s="373"/>
      <c r="DQ59" s="376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</row>
    <row r="60" spans="1:148" ht="15" customHeight="1" thickBot="1">
      <c r="A60" s="168"/>
      <c r="B60" s="867">
        <f>IF(E61="","",B56)</f>
      </c>
      <c r="C60" s="868"/>
      <c r="D60" s="869"/>
      <c r="E60" s="870"/>
      <c r="F60" s="871"/>
      <c r="G60" s="6"/>
      <c r="H60" s="7"/>
      <c r="I60" s="8"/>
      <c r="J60" s="439"/>
      <c r="K60" s="440"/>
      <c r="L60" s="440"/>
      <c r="M60" s="441">
        <f>IF(J60="","",ROUND(J60-K60*L60/100,3))</f>
      </c>
      <c r="N60" s="9"/>
      <c r="O60" s="7"/>
      <c r="P60" s="7"/>
      <c r="Q60" s="411"/>
      <c r="R60" s="9"/>
      <c r="S60" s="13"/>
      <c r="T60" s="7"/>
      <c r="U60" s="7"/>
      <c r="V60" s="7"/>
      <c r="W60" s="7"/>
      <c r="X60" s="7"/>
      <c r="Y60" s="452"/>
      <c r="Z60" s="453"/>
      <c r="AA60" s="454"/>
      <c r="AB60" s="455"/>
      <c r="AC60" s="455"/>
      <c r="AD60" s="456"/>
      <c r="AE60" s="575">
        <f>IF(AC60="","",$AX$9)</f>
      </c>
      <c r="AF60" s="575">
        <f>IF(AC60="","",$AX$10)</f>
      </c>
      <c r="AG60" s="499">
        <f>IF(AB60="","",IF(CQ61&gt;=CX60,"○","×"))</f>
      </c>
      <c r="AH60" s="500">
        <f>IF(AG60="","",ROUND(CQ61-AS61/1000-CV60,3))</f>
      </c>
      <c r="AI60" s="501">
        <f>IF(AG60="","",IF(AG60="×","×",IF(OR(AD61="",AD61=$CT$17),AG60,IF(AND(CQ60&gt;=DA61,DA61&gt;=CX60),"○","×"))))</f>
      </c>
      <c r="AJ60" s="503"/>
      <c r="AK60" s="515"/>
      <c r="AL60" s="465">
        <f>+DG60</f>
      </c>
      <c r="AM60" s="466">
        <f>+DQ61</f>
      </c>
      <c r="AN60" s="9"/>
      <c r="AO60" s="7"/>
      <c r="AP60" s="10"/>
      <c r="AQ60" s="7"/>
      <c r="AR60" s="11"/>
      <c r="AS60" s="11"/>
      <c r="AT60" s="12"/>
      <c r="AU60" s="9"/>
      <c r="AV60" s="13"/>
      <c r="AW60" s="614"/>
      <c r="AX60" s="38"/>
      <c r="AY60" s="592"/>
      <c r="AZ60" s="600"/>
      <c r="BA60" s="589"/>
      <c r="BB60" s="6"/>
      <c r="BC60" s="14"/>
      <c r="BD60" s="11"/>
      <c r="BE60" s="872">
        <f aca="true" t="shared" si="6" ref="BE60:BG61">IF(B60&lt;&gt;"",B60,"")</f>
      </c>
      <c r="BF60" s="873"/>
      <c r="BG60" s="874"/>
      <c r="BH60" s="875">
        <f>IF(E60&lt;&gt;"",E60,"")</f>
      </c>
      <c r="BI60" s="876"/>
      <c r="BJ60" s="258"/>
      <c r="BK60" s="259"/>
      <c r="BL60" s="260"/>
      <c r="BM60" s="200"/>
      <c r="BN60" s="261"/>
      <c r="BO60" s="259"/>
      <c r="BP60" s="262"/>
      <c r="BQ60" s="262"/>
      <c r="BR60" s="263"/>
      <c r="BS60" s="264"/>
      <c r="BT60" s="265"/>
      <c r="BU60" s="266"/>
      <c r="BV60" s="259"/>
      <c r="BW60" s="260"/>
      <c r="BX60" s="200"/>
      <c r="BY60" s="341"/>
      <c r="BZ60" s="267"/>
      <c r="CA60" s="268"/>
      <c r="CB60" s="269"/>
      <c r="CC60" s="270"/>
      <c r="CD60" s="271"/>
      <c r="CE60" s="272"/>
      <c r="CF60" s="270"/>
      <c r="CG60" s="267"/>
      <c r="CH60" s="273"/>
      <c r="CI60" s="83"/>
      <c r="CL60" s="182"/>
      <c r="CM60" s="274"/>
      <c r="CN60" s="275">
        <f>$F$18</f>
        <v>0.85</v>
      </c>
      <c r="CO60" s="587">
        <f>S61</f>
      </c>
      <c r="CP60" s="276">
        <f>W61</f>
      </c>
      <c r="CQ60" s="277" t="str">
        <f>INDEX($CM$24:$CP$24,1,MATCH(CQ61,CM61:CP61,0))</f>
        <v>宅内配管</v>
      </c>
      <c r="CR60" s="389">
        <f>IF(Y60="","",Y60)</f>
      </c>
      <c r="CS60" s="278">
        <f>IF(OR(AA60="",AB60="",AC60="",AQ61&lt;AB60),"",IF(Z60="土被り",R61-AA60-AC60,IF(Z60="標高",AA60)))</f>
      </c>
      <c r="CT60" s="467">
        <f>IF(CS60="","",CS60+AC60)</f>
      </c>
      <c r="CU60" s="474">
        <f>IF(CS60="","",CS60+AB60*AP61/100)</f>
      </c>
      <c r="CV60" s="279">
        <f>IF(CT60="","",CT60+AB60*AP61/100)</f>
      </c>
      <c r="CW60" s="457">
        <f>AE60</f>
      </c>
      <c r="CX60" s="280">
        <f>IF(CS60="","",CV60+CW60+AS61/1000)</f>
      </c>
      <c r="CY60" s="458">
        <f>AF60</f>
      </c>
      <c r="CZ60" s="281">
        <f>IF(CS60="","",CU60-CY60-AS61/1000-AR61/1000)</f>
      </c>
      <c r="DA60" s="282">
        <f>IF(CS60="","",IF(OR(AND(CW60=0,CY60=0),AD60=$CT$17),"",IF(CQ61&gt;=CX60,CQ61,MIN(CQ61,CZ60))))</f>
      </c>
      <c r="DB60" s="406">
        <f>IF(CU60="","",IF(CQ61&gt;=CX60,"○","×"))</f>
      </c>
      <c r="DC60" s="406">
        <f>IF(DB60="","",IF(DB60="×","×",IF(AND(CW60=0,CY60=0),"○",IF(AND(CQ61&gt;=DA61,DA61&gt;=CX60),"○","×"))))</f>
      </c>
      <c r="DD60" s="475">
        <f>IF(AD60="","",AD60)</f>
      </c>
      <c r="DE60" s="283">
        <f>IF(AND(DA61="",DA60=""),"",MIN(DA61,DA60))</f>
      </c>
      <c r="DF60" s="284">
        <f>IF(DE60="",CQ61,IF(DA60="",DE60,IF(DA61="",DE60,IF(AND(DC60="×",DC61="×"),MIN(CZ61,CZ60,DA61,DA60),IF(DE60=DA61,IF(DC61="○",DA60,DA61),IF(DE60=DA60,IF(DC60="○",DA61,DA60)))))))</f>
      </c>
      <c r="DG60" s="285">
        <f>IF(CS60="","",IF(AND(CW60=0,CY60=0),"無視",IF(DF60&gt;=CU60,"上越し","下越し")))</f>
      </c>
      <c r="DH60" s="286"/>
      <c r="DI60" s="287"/>
      <c r="DJ60" s="11"/>
      <c r="DK60" s="218" t="s">
        <v>60</v>
      </c>
      <c r="DL60" s="288" t="s">
        <v>16</v>
      </c>
      <c r="DM60" s="289" t="s">
        <v>61</v>
      </c>
      <c r="DN60" s="288" t="s">
        <v>16</v>
      </c>
      <c r="DO60" s="289"/>
      <c r="DP60" s="290"/>
      <c r="DQ60" s="291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</row>
    <row r="61" spans="1:148" ht="15" customHeight="1" thickBot="1">
      <c r="A61" s="168"/>
      <c r="B61" s="58"/>
      <c r="C61" s="59"/>
      <c r="D61" s="588"/>
      <c r="E61" s="863"/>
      <c r="F61" s="864"/>
      <c r="G61" s="15">
        <f>$F$6</f>
        <v>0.1</v>
      </c>
      <c r="H61" s="16"/>
      <c r="I61" s="17">
        <f>IF(H61="","",IF(K61&lt;50,$I$8,IF(K61&lt;120,$I$9,$I$10)))</f>
      </c>
      <c r="J61" s="435">
        <f>IF(H61="","",H61-I61-G61)</f>
      </c>
      <c r="K61" s="436"/>
      <c r="L61" s="437">
        <f>IF(K61="","",IF(K61&lt;50,$I$12,IF(K61&lt;120,$I$13,$I$14)))</f>
      </c>
      <c r="M61" s="438">
        <f>IF(K61="","",ROUND(H61-I61-G61-K61*L61/100,3))</f>
      </c>
      <c r="N61" s="21"/>
      <c r="O61" s="18">
        <f>IF(AND(M61="",M60=""),"",MIN(M61,M60))</f>
      </c>
      <c r="P61" s="22">
        <f>IF(N61="","",$F$16)</f>
      </c>
      <c r="Q61" s="410">
        <f>IF(N61="","",N61-O61+P61)</f>
      </c>
      <c r="R61" s="21"/>
      <c r="S61" s="567">
        <f>IF(R61="","",$AX$7)</f>
      </c>
      <c r="T61" s="23">
        <f>IF(R61="","",DK61)</f>
      </c>
      <c r="U61" s="16"/>
      <c r="V61" s="16"/>
      <c r="W61" s="567">
        <f>IF(U61="","",$AX$8)</f>
      </c>
      <c r="X61" s="23">
        <f>+DM61</f>
      </c>
      <c r="Y61" s="447"/>
      <c r="Z61" s="448"/>
      <c r="AA61" s="449"/>
      <c r="AB61" s="450"/>
      <c r="AC61" s="450"/>
      <c r="AD61" s="451"/>
      <c r="AE61" s="574">
        <f>IF(AC61="","",$AX$9)</f>
      </c>
      <c r="AF61" s="574">
        <f>IF(AC61="","",$AX$10)</f>
      </c>
      <c r="AG61" s="489">
        <f>IF(AB61="","",IF(CQ61&gt;=CX61,"○","×"))</f>
      </c>
      <c r="AH61" s="490">
        <f>IF(AG61="","",ROUND(CQ61-AS61/1000-CV61,3))</f>
      </c>
      <c r="AI61" s="491">
        <f>IF(AG61="","",IF(AG61="×","×",IF(OR(AD60="",AD60=$CT$17),AG61,IF(AND(CQ61&gt;=DA60,DA60&gt;=CX61),"○","×"))))</f>
      </c>
      <c r="AJ61" s="504"/>
      <c r="AK61" s="512"/>
      <c r="AL61" s="463">
        <f>+DG61</f>
      </c>
      <c r="AM61" s="464">
        <f>+DO61</f>
      </c>
      <c r="AN61" s="25">
        <f>IF(OR(AO61="",AQ61="",AP61=""),"",DF60)</f>
      </c>
      <c r="AO61" s="24"/>
      <c r="AP61" s="19"/>
      <c r="AQ61" s="19"/>
      <c r="AR61" s="22">
        <f>IF(AO61="","",VLOOKUP(AO61,$AO$7:$AQ$12,2,0))</f>
      </c>
      <c r="AS61" s="22">
        <f>IF(AO61="","",VLOOKUP(AO61,$AO$7:$AQ$12,3,0))</f>
      </c>
      <c r="AT61" s="20">
        <f>IF(AN61="","",AN61-AQ61*AP61/100)</f>
      </c>
      <c r="AU61" s="26">
        <f>IF(DF60="","",IF(Q61&gt;=$F$18,Q61,$F$18))</f>
      </c>
      <c r="AV61" s="27">
        <f>IF(AN61="","",N61-DF60)</f>
      </c>
      <c r="AW61" s="611">
        <f>IF(AU61&gt;AV61,AU61,AV61)</f>
      </c>
      <c r="AX61" s="28">
        <f>IF(AU61="","",IF((AV61-AU61)&lt;VLOOKUP(VALUE(RIGHT(AO61,3)),$AW$16:$AX$17,2,0),"標準","ドロップ"))</f>
      </c>
      <c r="AY61" s="591">
        <f>IF(Q61="","",DH61)</f>
      </c>
      <c r="AZ61" s="602"/>
      <c r="BA61" s="20">
        <f>IF(AT61="","",AT61-AZ61)</f>
      </c>
      <c r="BB61" s="29"/>
      <c r="BC61" s="30"/>
      <c r="BD61" s="11"/>
      <c r="BE61" s="377">
        <f t="shared" si="6"/>
      </c>
      <c r="BF61" s="378">
        <f t="shared" si="6"/>
      </c>
      <c r="BG61" s="379">
        <f t="shared" si="6"/>
      </c>
      <c r="BH61" s="865">
        <f>IF(E61&lt;&gt;"",E61,"")</f>
      </c>
      <c r="BI61" s="866"/>
      <c r="BJ61" s="292">
        <f>IF(N61&lt;&gt;"",N61,"")</f>
      </c>
      <c r="BK61" s="293">
        <f>'様式１０号'!AU61</f>
      </c>
      <c r="BL61" s="294">
        <f>'様式１０号'!AV61</f>
      </c>
      <c r="BM61" s="295">
        <f>+AX61</f>
      </c>
      <c r="BN61" s="296">
        <f>'様式１０号'!AY61</f>
      </c>
      <c r="BO61" s="297">
        <f>'様式１０号'!AN61</f>
      </c>
      <c r="BP61" s="298">
        <f>IF(AO61&lt;&gt;"",AO61,"")</f>
      </c>
      <c r="BQ61" s="299">
        <f>IF(AQ61&lt;&gt;"",AQ61,"")</f>
      </c>
      <c r="BR61" s="299">
        <f>IF(AP61&lt;&gt;"",AP61,"")</f>
      </c>
      <c r="BS61" s="300">
        <f>IF(BO61="","",BO61-BQ61*BR61/100)</f>
      </c>
      <c r="BT61" s="301">
        <f>IF(R61&lt;&gt;"",R61,"")</f>
      </c>
      <c r="BU61" s="302">
        <v>0.5</v>
      </c>
      <c r="BV61" s="297">
        <f>IF(BO61="","",ROUND(BO61-BU61*BR61/100,3))</f>
      </c>
      <c r="BW61" s="303">
        <v>0.1</v>
      </c>
      <c r="BX61" s="304">
        <f>IF(OR(BV61="",CH61="簡易推進"),"",ROUND(BT61-BV61+BW61,2))</f>
      </c>
      <c r="BY61" s="305"/>
      <c r="BZ61" s="306">
        <f>IF(BX61="","",IF(AND(BX61&lt;=1.5,BY61=""),"",IF(BX61+0.2&lt;=1.5,1.5,IF(BX61+0.2&lt;=2,2,IF(BX61+0.2&lt;=2.5,2.5)))))</f>
      </c>
      <c r="CA61" s="307"/>
      <c r="CB61" s="308">
        <f>IF(BZ61="","",IF(BX61&lt;=$CB$26,CA61,""))</f>
      </c>
      <c r="CC61" s="309">
        <f>IF(BZ61="","",IF(AND(BX61&gt;$CB$26,BX61&lt;=$CC$26),CA61,""))</f>
      </c>
      <c r="CD61" s="310">
        <f>IF(BZ61="","",IF(BX61&lt;=$CC$26,"",IF(AND(BX61&gt;$CC$26,BX61&lt;=$CD$26),CA61,"")))</f>
      </c>
      <c r="CE61" s="311"/>
      <c r="CF61" s="312"/>
      <c r="CG61" s="313"/>
      <c r="CH61" s="314"/>
      <c r="CI61" s="315"/>
      <c r="CK61" s="415">
        <f>E61</f>
        <v>0</v>
      </c>
      <c r="CL61" s="182"/>
      <c r="CM61" s="316">
        <f>IF(O61="","",O61-P61)</f>
      </c>
      <c r="CN61" s="317">
        <f>IF(O61="","",N61-CN60)</f>
      </c>
      <c r="CO61" s="317">
        <f>IF(AO61="","",IF(R61="","",R61-CO60-AS61/1000-AR61/1000))</f>
      </c>
      <c r="CP61" s="318">
        <f>IF(U61="","",U61-CP60-AS61/1000-AR61/1000+V61*AP61/100)</f>
      </c>
      <c r="CQ61" s="319">
        <f>IF(O61="","",MIN(CM61,CN61,CO61,CP61))</f>
      </c>
      <c r="CR61" s="390">
        <f>IF(Y61="","",Y61)</f>
      </c>
      <c r="CS61" s="320">
        <f>IF(OR(AA61="",AB61="",AC61="",AQ61&lt;AB61),"",IF(Z61="土被り",R61-AA61-AC61,IF(Z61="標高",AA61)))</f>
      </c>
      <c r="CT61" s="468">
        <f>IF(CS61="","",CS61+AC61)</f>
      </c>
      <c r="CU61" s="469">
        <f>IF(CS61="","",CS61+AB61*AP61/100)</f>
      </c>
      <c r="CV61" s="321">
        <f>IF(CT61="","",CT61+AB61*AP61/100)</f>
      </c>
      <c r="CW61" s="459">
        <f>AE61</f>
      </c>
      <c r="CX61" s="322">
        <f>IF(CS61="","",CV61+CW61+AS61/1000)</f>
      </c>
      <c r="CY61" s="460">
        <f>AF61</f>
      </c>
      <c r="CZ61" s="323">
        <f>IF(CS61="","",CU61-CY61-AS61/1000-AR61/1000)</f>
      </c>
      <c r="DA61" s="324">
        <f>IF(CS61="","",IF(OR(AD61=$CT$17,AND(CW61=0,CY61=0)),"",IF(CQ61&gt;=CX61,CQ61,MIN(CQ61,CZ61))))</f>
      </c>
      <c r="DB61" s="407">
        <f>IF(CU61="","",IF(CQ61&gt;=CX61,"○","×"))</f>
      </c>
      <c r="DC61" s="407">
        <f>IF(DA60="",DB61,IF(DB61="×","×",IF(AND(CW61=0,CY61=0),"○",IF(AND(CQ61&gt;=DA60,DA60&gt;=CX61),"○","×"))))</f>
      </c>
      <c r="DD61" s="475">
        <f>IF(AD61="","",AD61)</f>
      </c>
      <c r="DE61" s="325"/>
      <c r="DF61" s="326"/>
      <c r="DG61" s="322">
        <f>IF(CS61="","",IF(AND(CW61=0,CY61=0),"無視",IF(DF60&gt;=CU61,"上越し","下越し")))</f>
      </c>
      <c r="DH61" s="325" t="str">
        <f>IF(DF60=CQ61,CQ60,IF(CZ61=DF60,CR61&amp;DG61,CR60&amp;DG60))</f>
        <v>宅内配管</v>
      </c>
      <c r="DI61" s="327"/>
      <c r="DJ61" s="11"/>
      <c r="DK61" s="328">
        <f>IF(AN61="","",R61-DF60-AR61/1000-AS61/1000)</f>
      </c>
      <c r="DL61" s="254">
        <f>IF(U61="","",DF60-V61*AP61/100)</f>
      </c>
      <c r="DM61" s="329">
        <f>IF(U61="","",U61-DL61-AR61/1000-AS61/1000)</f>
      </c>
      <c r="DN61" s="254">
        <f>IF(CS61="","",DF60-AB61*AP61/100)</f>
      </c>
      <c r="DO61" s="330">
        <f>IF(CS61="","",IF(CS61&gt;=DN61,CS61-DN61-AR61/1000-AS61/1000,DN61-CT61-AS61/1000))</f>
      </c>
      <c r="DP61" s="331">
        <f>IF(CS60="","",DF60-AB60*AP61/100)</f>
      </c>
      <c r="DQ61" s="332">
        <f>IF(CS60="","",IF(CS60&gt;=DP61,CS60-DP61-AR61/1000-AS61/1000,DP61-CT60-AS61/1000))</f>
      </c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</row>
    <row r="62" spans="1:148" ht="15" customHeight="1">
      <c r="A62" s="168"/>
      <c r="B62" s="31"/>
      <c r="C62" s="32"/>
      <c r="D62" s="33"/>
      <c r="E62" s="34"/>
      <c r="F62" s="35"/>
      <c r="G62" s="6"/>
      <c r="H62" s="7"/>
      <c r="I62" s="8"/>
      <c r="J62" s="7"/>
      <c r="K62" s="36"/>
      <c r="L62" s="36"/>
      <c r="M62" s="12"/>
      <c r="N62" s="9"/>
      <c r="O62" s="7"/>
      <c r="P62" s="37"/>
      <c r="Q62" s="411"/>
      <c r="R62" s="9"/>
      <c r="S62" s="13"/>
      <c r="T62" s="7"/>
      <c r="U62" s="7"/>
      <c r="V62" s="7"/>
      <c r="W62" s="7"/>
      <c r="X62" s="7"/>
      <c r="Y62" s="38"/>
      <c r="Z62" s="8"/>
      <c r="AA62" s="13"/>
      <c r="AB62" s="7"/>
      <c r="AC62" s="7"/>
      <c r="AD62" s="7"/>
      <c r="AE62" s="37"/>
      <c r="AF62" s="37"/>
      <c r="AG62" s="493"/>
      <c r="AH62" s="494"/>
      <c r="AI62" s="493"/>
      <c r="AJ62" s="495"/>
      <c r="AK62" s="513"/>
      <c r="AL62" s="102"/>
      <c r="AM62" s="418"/>
      <c r="AN62" s="9"/>
      <c r="AO62" s="7"/>
      <c r="AP62" s="36"/>
      <c r="AQ62" s="7"/>
      <c r="AR62" s="7"/>
      <c r="AS62" s="7"/>
      <c r="AT62" s="12"/>
      <c r="AU62" s="39"/>
      <c r="AV62" s="40"/>
      <c r="AW62" s="612"/>
      <c r="AX62" s="38"/>
      <c r="AY62" s="592"/>
      <c r="AZ62" s="600"/>
      <c r="BA62" s="589"/>
      <c r="BB62" s="6"/>
      <c r="BC62" s="14"/>
      <c r="BD62" s="11"/>
      <c r="BE62" s="333"/>
      <c r="BF62" s="334"/>
      <c r="BG62" s="335"/>
      <c r="BH62" s="336"/>
      <c r="BI62" s="337"/>
      <c r="BJ62" s="258"/>
      <c r="BK62" s="338"/>
      <c r="BL62" s="339"/>
      <c r="BM62" s="200"/>
      <c r="BN62" s="261"/>
      <c r="BO62" s="259"/>
      <c r="BP62" s="262"/>
      <c r="BQ62" s="262"/>
      <c r="BR62" s="340"/>
      <c r="BS62" s="264"/>
      <c r="BT62" s="259"/>
      <c r="BU62" s="264"/>
      <c r="BV62" s="259"/>
      <c r="BW62" s="260"/>
      <c r="BX62" s="200"/>
      <c r="BY62" s="341"/>
      <c r="BZ62" s="267"/>
      <c r="CA62" s="268"/>
      <c r="CB62" s="269"/>
      <c r="CC62" s="270"/>
      <c r="CD62" s="271"/>
      <c r="CE62" s="272"/>
      <c r="CF62" s="270"/>
      <c r="CG62" s="267"/>
      <c r="CH62" s="273"/>
      <c r="CI62" s="83"/>
      <c r="CL62" s="182"/>
      <c r="CM62" s="343"/>
      <c r="CN62" s="344"/>
      <c r="CO62" s="344"/>
      <c r="CP62" s="344"/>
      <c r="CQ62" s="344"/>
      <c r="CR62" s="391"/>
      <c r="CS62" s="344"/>
      <c r="CT62" s="470"/>
      <c r="CU62" s="471"/>
      <c r="CV62" s="344"/>
      <c r="CW62" s="345"/>
      <c r="CX62" s="344"/>
      <c r="CY62" s="344"/>
      <c r="CZ62" s="346"/>
      <c r="DA62" s="344"/>
      <c r="DB62" s="408"/>
      <c r="DC62" s="408"/>
      <c r="DD62" s="408"/>
      <c r="DE62" s="344"/>
      <c r="DF62" s="344"/>
      <c r="DG62" s="344"/>
      <c r="DH62" s="344"/>
      <c r="DI62" s="347"/>
      <c r="DJ62" s="11"/>
      <c r="DK62" s="343"/>
      <c r="DL62" s="345"/>
      <c r="DM62" s="346"/>
      <c r="DN62" s="345"/>
      <c r="DO62" s="346"/>
      <c r="DP62" s="344"/>
      <c r="DQ62" s="347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</row>
    <row r="63" spans="1:148" ht="15" customHeight="1" thickBot="1">
      <c r="A63" s="168"/>
      <c r="B63" s="41"/>
      <c r="C63" s="42"/>
      <c r="D63" s="43"/>
      <c r="E63" s="44"/>
      <c r="F63" s="45"/>
      <c r="G63" s="46"/>
      <c r="H63" s="47"/>
      <c r="I63" s="48"/>
      <c r="J63" s="47"/>
      <c r="K63" s="49"/>
      <c r="L63" s="49"/>
      <c r="M63" s="50"/>
      <c r="N63" s="51"/>
      <c r="O63" s="47"/>
      <c r="P63" s="52"/>
      <c r="Q63" s="412"/>
      <c r="R63" s="51"/>
      <c r="S63" s="54"/>
      <c r="T63" s="47"/>
      <c r="U63" s="47"/>
      <c r="V63" s="47"/>
      <c r="W63" s="47"/>
      <c r="X63" s="47"/>
      <c r="Y63" s="53"/>
      <c r="Z63" s="48"/>
      <c r="AA63" s="54"/>
      <c r="AB63" s="47"/>
      <c r="AC63" s="47"/>
      <c r="AD63" s="47"/>
      <c r="AE63" s="52"/>
      <c r="AF63" s="52"/>
      <c r="AG63" s="496"/>
      <c r="AH63" s="497"/>
      <c r="AI63" s="496"/>
      <c r="AJ63" s="498"/>
      <c r="AK63" s="514"/>
      <c r="AL63" s="162"/>
      <c r="AM63" s="419"/>
      <c r="AN63" s="51"/>
      <c r="AO63" s="47"/>
      <c r="AP63" s="49"/>
      <c r="AQ63" s="47"/>
      <c r="AR63" s="47"/>
      <c r="AS63" s="47"/>
      <c r="AT63" s="50"/>
      <c r="AU63" s="55"/>
      <c r="AV63" s="56"/>
      <c r="AW63" s="613"/>
      <c r="AX63" s="53"/>
      <c r="AY63" s="593"/>
      <c r="AZ63" s="601"/>
      <c r="BA63" s="590"/>
      <c r="BB63" s="46"/>
      <c r="BC63" s="57"/>
      <c r="BD63" s="11"/>
      <c r="BE63" s="348"/>
      <c r="BF63" s="349"/>
      <c r="BG63" s="350"/>
      <c r="BH63" s="380"/>
      <c r="BI63" s="381"/>
      <c r="BJ63" s="353"/>
      <c r="BK63" s="354"/>
      <c r="BL63" s="355"/>
      <c r="BM63" s="356"/>
      <c r="BN63" s="357"/>
      <c r="BO63" s="358"/>
      <c r="BP63" s="359"/>
      <c r="BQ63" s="359"/>
      <c r="BR63" s="360"/>
      <c r="BS63" s="361"/>
      <c r="BT63" s="358"/>
      <c r="BU63" s="361"/>
      <c r="BV63" s="358"/>
      <c r="BW63" s="362"/>
      <c r="BX63" s="356"/>
      <c r="BY63" s="363"/>
      <c r="BZ63" s="364"/>
      <c r="CA63" s="365"/>
      <c r="CB63" s="366"/>
      <c r="CC63" s="367"/>
      <c r="CD63" s="368"/>
      <c r="CE63" s="382"/>
      <c r="CF63" s="367"/>
      <c r="CG63" s="364"/>
      <c r="CH63" s="370"/>
      <c r="CI63" s="371"/>
      <c r="CL63" s="182"/>
      <c r="CM63" s="372"/>
      <c r="CN63" s="373"/>
      <c r="CO63" s="373"/>
      <c r="CP63" s="373"/>
      <c r="CQ63" s="373"/>
      <c r="CR63" s="392"/>
      <c r="CS63" s="373"/>
      <c r="CT63" s="472"/>
      <c r="CU63" s="473"/>
      <c r="CV63" s="373"/>
      <c r="CW63" s="374"/>
      <c r="CX63" s="373"/>
      <c r="CY63" s="373"/>
      <c r="CZ63" s="375"/>
      <c r="DA63" s="373"/>
      <c r="DB63" s="409"/>
      <c r="DC63" s="409"/>
      <c r="DD63" s="409"/>
      <c r="DE63" s="373"/>
      <c r="DF63" s="373"/>
      <c r="DG63" s="373"/>
      <c r="DH63" s="373"/>
      <c r="DI63" s="376"/>
      <c r="DJ63" s="11"/>
      <c r="DK63" s="372"/>
      <c r="DL63" s="374"/>
      <c r="DM63" s="375"/>
      <c r="DN63" s="374"/>
      <c r="DO63" s="375"/>
      <c r="DP63" s="373"/>
      <c r="DQ63" s="376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</row>
    <row r="64" spans="1:148" ht="15" customHeight="1" thickBot="1">
      <c r="A64" s="168"/>
      <c r="B64" s="867">
        <f>IF(E65="","",B60)</f>
      </c>
      <c r="C64" s="868"/>
      <c r="D64" s="869"/>
      <c r="E64" s="870"/>
      <c r="F64" s="871"/>
      <c r="G64" s="6"/>
      <c r="H64" s="7"/>
      <c r="I64" s="8"/>
      <c r="J64" s="439"/>
      <c r="K64" s="440"/>
      <c r="L64" s="440"/>
      <c r="M64" s="441">
        <f>IF(J64="","",ROUND(J64-K64*L64/100,3))</f>
      </c>
      <c r="N64" s="9"/>
      <c r="O64" s="7"/>
      <c r="P64" s="7"/>
      <c r="Q64" s="411"/>
      <c r="R64" s="9"/>
      <c r="S64" s="13"/>
      <c r="T64" s="7"/>
      <c r="U64" s="7"/>
      <c r="V64" s="7"/>
      <c r="W64" s="7"/>
      <c r="X64" s="7"/>
      <c r="Y64" s="452"/>
      <c r="Z64" s="453"/>
      <c r="AA64" s="454"/>
      <c r="AB64" s="455"/>
      <c r="AC64" s="455"/>
      <c r="AD64" s="456"/>
      <c r="AE64" s="575">
        <f>IF(AC64="","",$AX$9)</f>
      </c>
      <c r="AF64" s="575">
        <f>IF(AC64="","",$AX$10)</f>
      </c>
      <c r="AG64" s="499">
        <f>IF(AB64="","",IF(CQ65&gt;=CX64,"○","×"))</f>
      </c>
      <c r="AH64" s="500">
        <f>IF(AG64="","",ROUND(CQ65-AS65/1000-CV64,3))</f>
      </c>
      <c r="AI64" s="501">
        <f>IF(AG64="","",IF(AG64="×","×",IF(OR(AD65="",AD65=$CT$17),AG64,IF(AND(CQ64&gt;=DA65,DA65&gt;=CX64),"○","×"))))</f>
      </c>
      <c r="AJ64" s="503"/>
      <c r="AK64" s="515"/>
      <c r="AL64" s="465">
        <f>+DG64</f>
      </c>
      <c r="AM64" s="466">
        <f>+DQ65</f>
      </c>
      <c r="AN64" s="9"/>
      <c r="AO64" s="7"/>
      <c r="AP64" s="10"/>
      <c r="AQ64" s="7"/>
      <c r="AR64" s="11"/>
      <c r="AS64" s="11"/>
      <c r="AT64" s="12"/>
      <c r="AU64" s="9"/>
      <c r="AV64" s="13"/>
      <c r="AW64" s="614"/>
      <c r="AX64" s="38"/>
      <c r="AY64" s="592"/>
      <c r="AZ64" s="600"/>
      <c r="BA64" s="589"/>
      <c r="BB64" s="6"/>
      <c r="BC64" s="14"/>
      <c r="BD64" s="11"/>
      <c r="BE64" s="872">
        <f aca="true" t="shared" si="7" ref="BE64:BG65">IF(B64&lt;&gt;"",B64,"")</f>
      </c>
      <c r="BF64" s="873"/>
      <c r="BG64" s="874"/>
      <c r="BH64" s="875">
        <f>IF(E64&lt;&gt;"",E64,"")</f>
      </c>
      <c r="BI64" s="876"/>
      <c r="BJ64" s="258"/>
      <c r="BK64" s="259"/>
      <c r="BL64" s="260"/>
      <c r="BM64" s="200"/>
      <c r="BN64" s="261"/>
      <c r="BO64" s="259"/>
      <c r="BP64" s="262"/>
      <c r="BQ64" s="262"/>
      <c r="BR64" s="263"/>
      <c r="BS64" s="264"/>
      <c r="BT64" s="265"/>
      <c r="BU64" s="266"/>
      <c r="BV64" s="259"/>
      <c r="BW64" s="260"/>
      <c r="BX64" s="200"/>
      <c r="BY64" s="341"/>
      <c r="BZ64" s="267"/>
      <c r="CA64" s="268"/>
      <c r="CB64" s="269"/>
      <c r="CC64" s="270"/>
      <c r="CD64" s="271"/>
      <c r="CE64" s="272"/>
      <c r="CF64" s="270"/>
      <c r="CG64" s="267"/>
      <c r="CH64" s="273"/>
      <c r="CI64" s="83"/>
      <c r="CL64" s="182"/>
      <c r="CM64" s="274"/>
      <c r="CN64" s="275">
        <f>$F$18</f>
        <v>0.85</v>
      </c>
      <c r="CO64" s="587">
        <f>S65</f>
      </c>
      <c r="CP64" s="276">
        <f>W65</f>
      </c>
      <c r="CQ64" s="277" t="str">
        <f>INDEX($CM$24:$CP$24,1,MATCH(CQ65,CM65:CP65,0))</f>
        <v>宅内配管</v>
      </c>
      <c r="CR64" s="389">
        <f>IF(Y64="","",Y64)</f>
      </c>
      <c r="CS64" s="278">
        <f>IF(OR(AA64="",AB64="",AC64="",AQ65&lt;AB64),"",IF(Z64="土被り",R65-AA64-AC64,IF(Z64="標高",AA64)))</f>
      </c>
      <c r="CT64" s="467">
        <f>IF(CS64="","",CS64+AC64)</f>
      </c>
      <c r="CU64" s="474">
        <f>IF(CS64="","",CS64+AB64*AP65/100)</f>
      </c>
      <c r="CV64" s="279">
        <f>IF(CT64="","",CT64+AB64*AP65/100)</f>
      </c>
      <c r="CW64" s="457">
        <f>AE64</f>
      </c>
      <c r="CX64" s="280">
        <f>IF(CS64="","",CV64+CW64+AS65/1000)</f>
      </c>
      <c r="CY64" s="458">
        <f>AF64</f>
      </c>
      <c r="CZ64" s="281">
        <f>IF(CS64="","",CU64-CY64-AS65/1000-AR65/1000)</f>
      </c>
      <c r="DA64" s="282">
        <f>IF(CS64="","",IF(OR(AND(CW64=0,CY64=0),AD64=$CT$17),"",IF(CQ65&gt;=CX64,CQ65,MIN(CQ65,CZ64))))</f>
      </c>
      <c r="DB64" s="406">
        <f>IF(CU64="","",IF(CQ65&gt;=CX64,"○","×"))</f>
      </c>
      <c r="DC64" s="406">
        <f>IF(DB64="","",IF(DB64="×","×",IF(AND(CW64=0,CY64=0),"○",IF(AND(CQ65&gt;=DA65,DA65&gt;=CX64),"○","×"))))</f>
      </c>
      <c r="DD64" s="475">
        <f>IF(AD64="","",AD64)</f>
      </c>
      <c r="DE64" s="283">
        <f>IF(AND(DA65="",DA64=""),"",MIN(DA65,DA64))</f>
      </c>
      <c r="DF64" s="284">
        <f>IF(DE64="",CQ65,IF(DA64="",DE64,IF(DA65="",DE64,IF(AND(DC64="×",DC65="×"),MIN(CZ65,CZ64,DA65,DA64),IF(DE64=DA65,IF(DC65="○",DA64,DA65),IF(DE64=DA64,IF(DC64="○",DA65,DA64)))))))</f>
      </c>
      <c r="DG64" s="285">
        <f>IF(CS64="","",IF(AND(CW64=0,CY64=0),"無視",IF(DF64&gt;=CU64,"上越し","下越し")))</f>
      </c>
      <c r="DH64" s="286"/>
      <c r="DI64" s="287"/>
      <c r="DJ64" s="11"/>
      <c r="DK64" s="218" t="s">
        <v>60</v>
      </c>
      <c r="DL64" s="288" t="s">
        <v>16</v>
      </c>
      <c r="DM64" s="289" t="s">
        <v>61</v>
      </c>
      <c r="DN64" s="288" t="s">
        <v>16</v>
      </c>
      <c r="DO64" s="289"/>
      <c r="DP64" s="290"/>
      <c r="DQ64" s="291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</row>
    <row r="65" spans="1:148" ht="15" customHeight="1" thickBot="1">
      <c r="A65" s="168"/>
      <c r="B65" s="58"/>
      <c r="C65" s="59"/>
      <c r="D65" s="588"/>
      <c r="E65" s="863"/>
      <c r="F65" s="864"/>
      <c r="G65" s="15">
        <f>$F$6</f>
        <v>0.1</v>
      </c>
      <c r="H65" s="16"/>
      <c r="I65" s="17">
        <f>IF(H65="","",IF(K65&lt;50,$I$8,IF(K65&lt;120,$I$9,$I$10)))</f>
      </c>
      <c r="J65" s="435">
        <f>IF(H65="","",H65-I65-G65)</f>
      </c>
      <c r="K65" s="436"/>
      <c r="L65" s="437">
        <f>IF(K65="","",IF(K65&lt;50,$I$12,IF(K65&lt;120,$I$13,$I$14)))</f>
      </c>
      <c r="M65" s="438">
        <f>IF(K65="","",ROUND(H65-I65-G65-K65*L65/100,3))</f>
      </c>
      <c r="N65" s="21"/>
      <c r="O65" s="18">
        <f>IF(AND(M65="",M64=""),"",MIN(M65,M64))</f>
      </c>
      <c r="P65" s="22">
        <f>IF(N65="","",$F$16)</f>
      </c>
      <c r="Q65" s="410">
        <f>IF(N65="","",N65-O65+P65)</f>
      </c>
      <c r="R65" s="21"/>
      <c r="S65" s="567">
        <f>IF(R65="","",$AX$7)</f>
      </c>
      <c r="T65" s="23">
        <f>IF(R65="","",DK65)</f>
      </c>
      <c r="U65" s="16"/>
      <c r="V65" s="16"/>
      <c r="W65" s="567">
        <f>IF(U65="","",$AX$8)</f>
      </c>
      <c r="X65" s="23">
        <f>+DM65</f>
      </c>
      <c r="Y65" s="447"/>
      <c r="Z65" s="448"/>
      <c r="AA65" s="449"/>
      <c r="AB65" s="450"/>
      <c r="AC65" s="450"/>
      <c r="AD65" s="451"/>
      <c r="AE65" s="574">
        <f>IF(AC65="","",$AX$9)</f>
      </c>
      <c r="AF65" s="574">
        <f>IF(AC65="","",$AX$10)</f>
      </c>
      <c r="AG65" s="489">
        <f>IF(AB65="","",IF(CQ65&gt;=CX65,"○","×"))</f>
      </c>
      <c r="AH65" s="490">
        <f>IF(AG65="","",ROUND(CQ65-AS65/1000-CV65,3))</f>
      </c>
      <c r="AI65" s="491">
        <f>IF(AG65="","",IF(AG65="×","×",IF(OR(AD64="",AD64=$CT$17),AG65,IF(AND(CQ65&gt;=DA64,DA64&gt;=CX65),"○","×"))))</f>
      </c>
      <c r="AJ65" s="504"/>
      <c r="AK65" s="512"/>
      <c r="AL65" s="463">
        <f>+DG65</f>
      </c>
      <c r="AM65" s="464">
        <f>+DO65</f>
      </c>
      <c r="AN65" s="25">
        <f>IF(OR(AO65="",AQ65="",AP65=""),"",DF64)</f>
      </c>
      <c r="AO65" s="24"/>
      <c r="AP65" s="19"/>
      <c r="AQ65" s="19"/>
      <c r="AR65" s="22">
        <f>IF(AO65="","",VLOOKUP(AO65,$AO$7:$AQ$12,2,0))</f>
      </c>
      <c r="AS65" s="22">
        <f>IF(AO65="","",VLOOKUP(AO65,$AO$7:$AQ$12,3,0))</f>
      </c>
      <c r="AT65" s="20">
        <f>IF(AN65="","",AN65-AQ65*AP65/100)</f>
      </c>
      <c r="AU65" s="26">
        <f>IF(DF64="","",IF(Q65&gt;=$F$18,Q65,$F$18))</f>
      </c>
      <c r="AV65" s="27">
        <f>IF(AN65="","",N65-DF64)</f>
      </c>
      <c r="AW65" s="611">
        <f>IF(AU65&gt;AV65,AU65,AV65)</f>
      </c>
      <c r="AX65" s="28">
        <f>IF(AU65="","",IF((AV65-AU65)&lt;VLOOKUP(VALUE(RIGHT(AO65,3)),$AW$16:$AX$17,2,0),"標準","ドロップ"))</f>
      </c>
      <c r="AY65" s="591">
        <f>IF(Q65="","",DH65)</f>
      </c>
      <c r="AZ65" s="602"/>
      <c r="BA65" s="20">
        <f>IF(AT65="","",AT65-AZ65)</f>
      </c>
      <c r="BB65" s="29"/>
      <c r="BC65" s="30"/>
      <c r="BD65" s="11"/>
      <c r="BE65" s="377">
        <f t="shared" si="7"/>
      </c>
      <c r="BF65" s="378">
        <f t="shared" si="7"/>
      </c>
      <c r="BG65" s="379">
        <f t="shared" si="7"/>
      </c>
      <c r="BH65" s="865">
        <f>IF(E65&lt;&gt;"",E65,"")</f>
      </c>
      <c r="BI65" s="866"/>
      <c r="BJ65" s="292">
        <f>IF(N65&lt;&gt;"",N65,"")</f>
      </c>
      <c r="BK65" s="293">
        <f>'様式１０号'!AU65</f>
      </c>
      <c r="BL65" s="294">
        <f>'様式１０号'!AV65</f>
      </c>
      <c r="BM65" s="295">
        <f>+AX65</f>
      </c>
      <c r="BN65" s="296">
        <f>'様式１０号'!AY65</f>
      </c>
      <c r="BO65" s="297">
        <f>'様式１０号'!AN65</f>
      </c>
      <c r="BP65" s="298">
        <f>IF(AO65&lt;&gt;"",AO65,"")</f>
      </c>
      <c r="BQ65" s="299">
        <f>IF(AQ65&lt;&gt;"",AQ65,"")</f>
      </c>
      <c r="BR65" s="299">
        <f>IF(AP65&lt;&gt;"",AP65,"")</f>
      </c>
      <c r="BS65" s="300">
        <f>IF(BO65="","",BO65-BQ65*BR65/100)</f>
      </c>
      <c r="BT65" s="301">
        <f>IF(R65&lt;&gt;"",R65,"")</f>
      </c>
      <c r="BU65" s="302">
        <v>0.5</v>
      </c>
      <c r="BV65" s="297">
        <f>IF(BO65="","",ROUND(BO65-BU65*BR65/100,3))</f>
      </c>
      <c r="BW65" s="303">
        <v>0.1</v>
      </c>
      <c r="BX65" s="304">
        <f>IF(OR(BV65="",CH65="簡易推進"),"",ROUND(BT65-BV65+BW65,2))</f>
      </c>
      <c r="BY65" s="305"/>
      <c r="BZ65" s="306">
        <f>IF(BX65="","",IF(AND(BX65&lt;=1.5,BY65=""),"",IF(BX65+0.2&lt;=1.5,1.5,IF(BX65+0.2&lt;=2,2,IF(BX65+0.2&lt;=2.5,2.5)))))</f>
      </c>
      <c r="CA65" s="307"/>
      <c r="CB65" s="308">
        <f>IF(BZ65="","",IF(BX65&lt;=$CB$26,CA65,""))</f>
      </c>
      <c r="CC65" s="309">
        <f>IF(BZ65="","",IF(AND(BX65&gt;$CB$26,BX65&lt;=$CC$26),CA65,""))</f>
      </c>
      <c r="CD65" s="310">
        <f>IF(BZ65="","",IF(BX65&lt;=$CC$26,"",IF(AND(BX65&gt;$CC$26,BX65&lt;=$CD$26),CA65,"")))</f>
      </c>
      <c r="CE65" s="311"/>
      <c r="CF65" s="312"/>
      <c r="CG65" s="313"/>
      <c r="CH65" s="314"/>
      <c r="CI65" s="315"/>
      <c r="CK65" s="415">
        <f>E65</f>
        <v>0</v>
      </c>
      <c r="CL65" s="182"/>
      <c r="CM65" s="316">
        <f>IF(O65="","",O65-P65)</f>
      </c>
      <c r="CN65" s="317">
        <f>IF(O65="","",N65-CN64)</f>
      </c>
      <c r="CO65" s="317">
        <f>IF(AO65="","",IF(R65="","",R65-CO64-AS65/1000-AR65/1000))</f>
      </c>
      <c r="CP65" s="318">
        <f>IF(U65="","",U65-CP64-AS65/1000-AR65/1000+V65*AP65/100)</f>
      </c>
      <c r="CQ65" s="319">
        <f>IF(O65="","",MIN(CM65,CN65,CO65,CP65))</f>
      </c>
      <c r="CR65" s="390">
        <f>IF(Y65="","",Y65)</f>
      </c>
      <c r="CS65" s="320">
        <f>IF(OR(AA65="",AB65="",AC65="",AQ65&lt;AB65),"",IF(Z65="土被り",R65-AA65-AC65,IF(Z65="標高",AA65)))</f>
      </c>
      <c r="CT65" s="468">
        <f>IF(CS65="","",CS65+AC65)</f>
      </c>
      <c r="CU65" s="469">
        <f>IF(CS65="","",CS65+AB65*AP65/100)</f>
      </c>
      <c r="CV65" s="321">
        <f>IF(CT65="","",CT65+AB65*AP65/100)</f>
      </c>
      <c r="CW65" s="459">
        <f>AE65</f>
      </c>
      <c r="CX65" s="322">
        <f>IF(CS65="","",CV65+CW65+AS65/1000)</f>
      </c>
      <c r="CY65" s="460">
        <f>AF65</f>
      </c>
      <c r="CZ65" s="323">
        <f>IF(CS65="","",CU65-CY65-AS65/1000-AR65/1000)</f>
      </c>
      <c r="DA65" s="324">
        <f>IF(CS65="","",IF(OR(AD65=$CT$17,AND(CW65=0,CY65=0)),"",IF(CQ65&gt;=CX65,CQ65,MIN(CQ65,CZ65))))</f>
      </c>
      <c r="DB65" s="407">
        <f>IF(CU65="","",IF(CQ65&gt;=CX65,"○","×"))</f>
      </c>
      <c r="DC65" s="407">
        <f>IF(DA64="",DB65,IF(DB65="×","×",IF(AND(CW65=0,CY65=0),"○",IF(AND(CQ65&gt;=DA64,DA64&gt;=CX65),"○","×"))))</f>
      </c>
      <c r="DD65" s="475">
        <f>IF(AD65="","",AD65)</f>
      </c>
      <c r="DE65" s="325"/>
      <c r="DF65" s="326"/>
      <c r="DG65" s="322">
        <f>IF(CS65="","",IF(AND(CW65=0,CY65=0),"無視",IF(DF64&gt;=CU65,"上越し","下越し")))</f>
      </c>
      <c r="DH65" s="325" t="str">
        <f>IF(DF64=CQ65,CQ64,IF(CZ65=DF64,CR65&amp;DG65,CR64&amp;DG64))</f>
        <v>宅内配管</v>
      </c>
      <c r="DI65" s="327"/>
      <c r="DJ65" s="11"/>
      <c r="DK65" s="328">
        <f>IF(AN65="","",R65-DF64-AR65/1000-AS65/1000)</f>
      </c>
      <c r="DL65" s="254">
        <f>IF(U65="","",DF64-V65*AP65/100)</f>
      </c>
      <c r="DM65" s="329">
        <f>IF(U65="","",U65-DL65-AR65/1000-AS65/1000)</f>
      </c>
      <c r="DN65" s="254">
        <f>IF(CS65="","",DF64-AB65*AP65/100)</f>
      </c>
      <c r="DO65" s="330">
        <f>IF(CS65="","",IF(CS65&gt;=DN65,CS65-DN65-AR65/1000-AS65/1000,DN65-CT65-AS65/1000))</f>
      </c>
      <c r="DP65" s="331">
        <f>IF(CS64="","",DF64-AB64*AP65/100)</f>
      </c>
      <c r="DQ65" s="332">
        <f>IF(CS64="","",IF(CS64&gt;=DP65,CS64-DP65-AR65/1000-AS65/1000,DP65-CT64-AS65/1000))</f>
      </c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</row>
    <row r="66" spans="1:148" ht="15" customHeight="1">
      <c r="A66" s="168"/>
      <c r="B66" s="31"/>
      <c r="C66" s="32"/>
      <c r="D66" s="33"/>
      <c r="E66" s="34"/>
      <c r="F66" s="35"/>
      <c r="G66" s="6"/>
      <c r="H66" s="7"/>
      <c r="I66" s="8"/>
      <c r="J66" s="7"/>
      <c r="K66" s="36"/>
      <c r="L66" s="36"/>
      <c r="M66" s="12"/>
      <c r="N66" s="9"/>
      <c r="O66" s="7"/>
      <c r="P66" s="37"/>
      <c r="Q66" s="411"/>
      <c r="R66" s="9"/>
      <c r="S66" s="13"/>
      <c r="T66" s="7"/>
      <c r="U66" s="7"/>
      <c r="V66" s="7"/>
      <c r="W66" s="7"/>
      <c r="X66" s="7"/>
      <c r="Y66" s="38"/>
      <c r="Z66" s="8"/>
      <c r="AA66" s="13"/>
      <c r="AB66" s="7"/>
      <c r="AC66" s="7"/>
      <c r="AD66" s="7"/>
      <c r="AE66" s="37"/>
      <c r="AF66" s="37"/>
      <c r="AG66" s="493"/>
      <c r="AH66" s="494"/>
      <c r="AI66" s="493"/>
      <c r="AJ66" s="495"/>
      <c r="AK66" s="513"/>
      <c r="AL66" s="102"/>
      <c r="AM66" s="418"/>
      <c r="AN66" s="9"/>
      <c r="AO66" s="7"/>
      <c r="AP66" s="36"/>
      <c r="AQ66" s="7"/>
      <c r="AR66" s="7"/>
      <c r="AS66" s="7"/>
      <c r="AT66" s="12"/>
      <c r="AU66" s="39"/>
      <c r="AV66" s="40"/>
      <c r="AW66" s="612"/>
      <c r="AX66" s="38"/>
      <c r="AY66" s="592"/>
      <c r="AZ66" s="600"/>
      <c r="BA66" s="589"/>
      <c r="BB66" s="6"/>
      <c r="BC66" s="14"/>
      <c r="BD66" s="11"/>
      <c r="BE66" s="333"/>
      <c r="BF66" s="334"/>
      <c r="BG66" s="335"/>
      <c r="BH66" s="336"/>
      <c r="BI66" s="337"/>
      <c r="BJ66" s="258"/>
      <c r="BK66" s="338"/>
      <c r="BL66" s="339"/>
      <c r="BM66" s="200"/>
      <c r="BN66" s="261"/>
      <c r="BO66" s="259"/>
      <c r="BP66" s="262"/>
      <c r="BQ66" s="262"/>
      <c r="BR66" s="340"/>
      <c r="BS66" s="264"/>
      <c r="BT66" s="259"/>
      <c r="BU66" s="264"/>
      <c r="BV66" s="259"/>
      <c r="BW66" s="260"/>
      <c r="BX66" s="200"/>
      <c r="BY66" s="341"/>
      <c r="BZ66" s="267"/>
      <c r="CA66" s="268"/>
      <c r="CB66" s="269"/>
      <c r="CC66" s="270"/>
      <c r="CD66" s="271"/>
      <c r="CE66" s="272"/>
      <c r="CF66" s="270"/>
      <c r="CG66" s="267"/>
      <c r="CH66" s="273"/>
      <c r="CI66" s="83"/>
      <c r="CL66" s="182"/>
      <c r="CM66" s="343"/>
      <c r="CN66" s="344"/>
      <c r="CO66" s="344"/>
      <c r="CP66" s="344"/>
      <c r="CQ66" s="344"/>
      <c r="CR66" s="391"/>
      <c r="CS66" s="344"/>
      <c r="CT66" s="470"/>
      <c r="CU66" s="471"/>
      <c r="CV66" s="344"/>
      <c r="CW66" s="345"/>
      <c r="CX66" s="344"/>
      <c r="CY66" s="344"/>
      <c r="CZ66" s="346"/>
      <c r="DA66" s="344"/>
      <c r="DB66" s="408"/>
      <c r="DC66" s="408"/>
      <c r="DD66" s="408"/>
      <c r="DE66" s="344"/>
      <c r="DF66" s="344"/>
      <c r="DG66" s="344"/>
      <c r="DH66" s="344"/>
      <c r="DI66" s="347"/>
      <c r="DJ66" s="11"/>
      <c r="DK66" s="343"/>
      <c r="DL66" s="345"/>
      <c r="DM66" s="346"/>
      <c r="DN66" s="345"/>
      <c r="DO66" s="346"/>
      <c r="DP66" s="344"/>
      <c r="DQ66" s="347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</row>
    <row r="67" spans="1:148" ht="15" customHeight="1" thickBot="1">
      <c r="A67" s="168"/>
      <c r="B67" s="41"/>
      <c r="C67" s="42"/>
      <c r="D67" s="43"/>
      <c r="E67" s="44"/>
      <c r="F67" s="45"/>
      <c r="G67" s="46"/>
      <c r="H67" s="47"/>
      <c r="I67" s="48"/>
      <c r="J67" s="47"/>
      <c r="K67" s="49"/>
      <c r="L67" s="49"/>
      <c r="M67" s="50"/>
      <c r="N67" s="51"/>
      <c r="O67" s="47"/>
      <c r="P67" s="52"/>
      <c r="Q67" s="412"/>
      <c r="R67" s="51"/>
      <c r="S67" s="54"/>
      <c r="T67" s="47"/>
      <c r="U67" s="47"/>
      <c r="V67" s="47"/>
      <c r="W67" s="47"/>
      <c r="X67" s="47"/>
      <c r="Y67" s="53"/>
      <c r="Z67" s="48"/>
      <c r="AA67" s="54"/>
      <c r="AB67" s="47"/>
      <c r="AC67" s="47"/>
      <c r="AD67" s="47"/>
      <c r="AE67" s="52"/>
      <c r="AF67" s="52"/>
      <c r="AG67" s="496"/>
      <c r="AH67" s="497"/>
      <c r="AI67" s="496"/>
      <c r="AJ67" s="498"/>
      <c r="AK67" s="514"/>
      <c r="AL67" s="162"/>
      <c r="AM67" s="419"/>
      <c r="AN67" s="51"/>
      <c r="AO67" s="47"/>
      <c r="AP67" s="49"/>
      <c r="AQ67" s="47"/>
      <c r="AR67" s="47"/>
      <c r="AS67" s="47"/>
      <c r="AT67" s="50"/>
      <c r="AU67" s="55"/>
      <c r="AV67" s="56"/>
      <c r="AW67" s="613"/>
      <c r="AX67" s="53"/>
      <c r="AY67" s="593"/>
      <c r="AZ67" s="601"/>
      <c r="BA67" s="590"/>
      <c r="BB67" s="46"/>
      <c r="BC67" s="57"/>
      <c r="BD67" s="11"/>
      <c r="BE67" s="348"/>
      <c r="BF67" s="349"/>
      <c r="BG67" s="350"/>
      <c r="BH67" s="380"/>
      <c r="BI67" s="381"/>
      <c r="BJ67" s="353"/>
      <c r="BK67" s="354"/>
      <c r="BL67" s="355"/>
      <c r="BM67" s="356"/>
      <c r="BN67" s="357"/>
      <c r="BO67" s="358"/>
      <c r="BP67" s="359"/>
      <c r="BQ67" s="359"/>
      <c r="BR67" s="360"/>
      <c r="BS67" s="361"/>
      <c r="BT67" s="358"/>
      <c r="BU67" s="361"/>
      <c r="BV67" s="358"/>
      <c r="BW67" s="362"/>
      <c r="BX67" s="356"/>
      <c r="BY67" s="363"/>
      <c r="BZ67" s="364"/>
      <c r="CA67" s="365"/>
      <c r="CB67" s="366"/>
      <c r="CC67" s="367"/>
      <c r="CD67" s="368"/>
      <c r="CE67" s="382"/>
      <c r="CF67" s="367"/>
      <c r="CG67" s="364"/>
      <c r="CH67" s="370"/>
      <c r="CI67" s="371"/>
      <c r="CL67" s="182"/>
      <c r="CM67" s="372"/>
      <c r="CN67" s="373"/>
      <c r="CO67" s="373"/>
      <c r="CP67" s="373"/>
      <c r="CQ67" s="373"/>
      <c r="CR67" s="392"/>
      <c r="CS67" s="373"/>
      <c r="CT67" s="472"/>
      <c r="CU67" s="473"/>
      <c r="CV67" s="373"/>
      <c r="CW67" s="374"/>
      <c r="CX67" s="373"/>
      <c r="CY67" s="373"/>
      <c r="CZ67" s="375"/>
      <c r="DA67" s="373"/>
      <c r="DB67" s="409"/>
      <c r="DC67" s="409"/>
      <c r="DD67" s="409"/>
      <c r="DE67" s="373"/>
      <c r="DF67" s="373"/>
      <c r="DG67" s="373"/>
      <c r="DH67" s="373"/>
      <c r="DI67" s="376"/>
      <c r="DJ67" s="11"/>
      <c r="DK67" s="372"/>
      <c r="DL67" s="374"/>
      <c r="DM67" s="375"/>
      <c r="DN67" s="374"/>
      <c r="DO67" s="375"/>
      <c r="DP67" s="373"/>
      <c r="DQ67" s="376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</row>
    <row r="68" spans="1:148" ht="15" customHeight="1" thickBot="1">
      <c r="A68" s="168"/>
      <c r="B68" s="867">
        <f>IF(E69="","",B64)</f>
      </c>
      <c r="C68" s="868"/>
      <c r="D68" s="869"/>
      <c r="E68" s="870"/>
      <c r="F68" s="871"/>
      <c r="G68" s="6"/>
      <c r="H68" s="7"/>
      <c r="I68" s="8"/>
      <c r="J68" s="439"/>
      <c r="K68" s="440"/>
      <c r="L68" s="440"/>
      <c r="M68" s="441">
        <f>IF(J68="","",ROUND(J68-K68*L68/100,3))</f>
      </c>
      <c r="N68" s="9"/>
      <c r="O68" s="7"/>
      <c r="P68" s="7"/>
      <c r="Q68" s="411"/>
      <c r="R68" s="9"/>
      <c r="S68" s="13"/>
      <c r="T68" s="7"/>
      <c r="U68" s="7"/>
      <c r="V68" s="7"/>
      <c r="W68" s="7"/>
      <c r="X68" s="7"/>
      <c r="Y68" s="452"/>
      <c r="Z68" s="453"/>
      <c r="AA68" s="454"/>
      <c r="AB68" s="455"/>
      <c r="AC68" s="455"/>
      <c r="AD68" s="456"/>
      <c r="AE68" s="575">
        <f>IF(AC68="","",$AX$9)</f>
      </c>
      <c r="AF68" s="575">
        <f>IF(AC68="","",$AX$10)</f>
      </c>
      <c r="AG68" s="499">
        <f>IF(AB68="","",IF(CQ69&gt;=CX68,"○","×"))</f>
      </c>
      <c r="AH68" s="500">
        <f>IF(AG68="","",ROUND(CQ69-AS69/1000-CV68,3))</f>
      </c>
      <c r="AI68" s="501">
        <f>IF(AG68="","",IF(AG68="×","×",IF(OR(AD69="",AD69=$CT$17),AG68,IF(AND(CQ68&gt;=DA69,DA69&gt;=CX68),"○","×"))))</f>
      </c>
      <c r="AJ68" s="503"/>
      <c r="AK68" s="515"/>
      <c r="AL68" s="465">
        <f>+DG68</f>
      </c>
      <c r="AM68" s="466">
        <f>+DQ69</f>
      </c>
      <c r="AN68" s="9"/>
      <c r="AO68" s="7"/>
      <c r="AP68" s="10"/>
      <c r="AQ68" s="7"/>
      <c r="AR68" s="11"/>
      <c r="AS68" s="11"/>
      <c r="AT68" s="12"/>
      <c r="AU68" s="9"/>
      <c r="AV68" s="13"/>
      <c r="AW68" s="614"/>
      <c r="AX68" s="38"/>
      <c r="AY68" s="592"/>
      <c r="AZ68" s="600"/>
      <c r="BA68" s="589"/>
      <c r="BB68" s="6"/>
      <c r="BC68" s="14"/>
      <c r="BD68" s="11"/>
      <c r="BE68" s="872">
        <f aca="true" t="shared" si="8" ref="BE68:BG69">IF(B68&lt;&gt;"",B68,"")</f>
      </c>
      <c r="BF68" s="873"/>
      <c r="BG68" s="874"/>
      <c r="BH68" s="875">
        <f>IF(E68&lt;&gt;"",E68,"")</f>
      </c>
      <c r="BI68" s="876"/>
      <c r="BJ68" s="258"/>
      <c r="BK68" s="259"/>
      <c r="BL68" s="260"/>
      <c r="BM68" s="200"/>
      <c r="BN68" s="261"/>
      <c r="BO68" s="259"/>
      <c r="BP68" s="262"/>
      <c r="BQ68" s="262"/>
      <c r="BR68" s="263"/>
      <c r="BS68" s="264"/>
      <c r="BT68" s="265"/>
      <c r="BU68" s="266"/>
      <c r="BV68" s="259"/>
      <c r="BW68" s="260"/>
      <c r="BX68" s="200"/>
      <c r="BY68" s="341"/>
      <c r="BZ68" s="267"/>
      <c r="CA68" s="268"/>
      <c r="CB68" s="269"/>
      <c r="CC68" s="270"/>
      <c r="CD68" s="271"/>
      <c r="CE68" s="272"/>
      <c r="CF68" s="270"/>
      <c r="CG68" s="267"/>
      <c r="CH68" s="273"/>
      <c r="CI68" s="83"/>
      <c r="CL68" s="182"/>
      <c r="CM68" s="274"/>
      <c r="CN68" s="275">
        <f>$F$18</f>
        <v>0.85</v>
      </c>
      <c r="CO68" s="587">
        <f>S69</f>
      </c>
      <c r="CP68" s="276">
        <f>W69</f>
      </c>
      <c r="CQ68" s="277" t="str">
        <f>INDEX($CM$24:$CP$24,1,MATCH(CQ69,CM69:CP69,0))</f>
        <v>宅内配管</v>
      </c>
      <c r="CR68" s="389">
        <f>IF(Y68="","",Y68)</f>
      </c>
      <c r="CS68" s="278">
        <f>IF(OR(AA68="",AB68="",AC68="",AQ69&lt;AB68),"",IF(Z68="土被り",R69-AA68-AC68,IF(Z68="標高",AA68)))</f>
      </c>
      <c r="CT68" s="467">
        <f>IF(CS68="","",CS68+AC68)</f>
      </c>
      <c r="CU68" s="474">
        <f>IF(CS68="","",CS68+AB68*AP69/100)</f>
      </c>
      <c r="CV68" s="279">
        <f>IF(CT68="","",CT68+AB68*AP69/100)</f>
      </c>
      <c r="CW68" s="457">
        <f>AE68</f>
      </c>
      <c r="CX68" s="280">
        <f>IF(CS68="","",CV68+CW68+AS69/1000)</f>
      </c>
      <c r="CY68" s="458">
        <f>AF68</f>
      </c>
      <c r="CZ68" s="281">
        <f>IF(CS68="","",CU68-CY68-AS69/1000-AR69/1000)</f>
      </c>
      <c r="DA68" s="282">
        <f>IF(CS68="","",IF(OR(AND(CW68=0,CY68=0),AD68=$CT$17),"",IF(CQ69&gt;=CX68,CQ69,MIN(CQ69,CZ68))))</f>
      </c>
      <c r="DB68" s="406">
        <f>IF(CU68="","",IF(CQ69&gt;=CX68,"○","×"))</f>
      </c>
      <c r="DC68" s="406">
        <f>IF(DB68="","",IF(DB68="×","×",IF(AND(CW68=0,CY68=0),"○",IF(AND(CQ69&gt;=DA69,DA69&gt;=CX68),"○","×"))))</f>
      </c>
      <c r="DD68" s="475">
        <f>IF(AD68="","",AD68)</f>
      </c>
      <c r="DE68" s="283">
        <f>IF(AND(DA69="",DA68=""),"",MIN(DA69,DA68))</f>
      </c>
      <c r="DF68" s="284">
        <f>IF(DE68="",CQ69,IF(DA68="",DE68,IF(DA69="",DE68,IF(AND(DC68="×",DC69="×"),MIN(CZ69,CZ68,DA69,DA68),IF(DE68=DA69,IF(DC69="○",DA68,DA69),IF(DE68=DA68,IF(DC68="○",DA69,DA68)))))))</f>
      </c>
      <c r="DG68" s="285">
        <f>IF(CS68="","",IF(AND(CW68=0,CY68=0),"無視",IF(DF68&gt;=CU68,"上越し","下越し")))</f>
      </c>
      <c r="DH68" s="286"/>
      <c r="DI68" s="287"/>
      <c r="DJ68" s="11"/>
      <c r="DK68" s="218" t="s">
        <v>60</v>
      </c>
      <c r="DL68" s="288" t="s">
        <v>16</v>
      </c>
      <c r="DM68" s="289" t="s">
        <v>61</v>
      </c>
      <c r="DN68" s="288" t="s">
        <v>16</v>
      </c>
      <c r="DO68" s="289"/>
      <c r="DP68" s="290"/>
      <c r="DQ68" s="291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</row>
    <row r="69" spans="1:148" ht="15" customHeight="1" thickBot="1">
      <c r="A69" s="168"/>
      <c r="B69" s="58"/>
      <c r="C69" s="59"/>
      <c r="D69" s="588"/>
      <c r="E69" s="863"/>
      <c r="F69" s="864"/>
      <c r="G69" s="15">
        <f>$F$6</f>
        <v>0.1</v>
      </c>
      <c r="H69" s="16"/>
      <c r="I69" s="17">
        <f>IF(H69="","",IF(K69&lt;50,$I$8,IF(K69&lt;120,$I$9,$I$10)))</f>
      </c>
      <c r="J69" s="435">
        <f>IF(H69="","",H69-I69-G69)</f>
      </c>
      <c r="K69" s="436"/>
      <c r="L69" s="437">
        <f>IF(K69="","",IF(K69&lt;50,$I$12,IF(K69&lt;120,$I$13,$I$14)))</f>
      </c>
      <c r="M69" s="438">
        <f>IF(K69="","",ROUND(H69-I69-G69-K69*L69/100,3))</f>
      </c>
      <c r="N69" s="21"/>
      <c r="O69" s="18">
        <f>IF(AND(M69="",M68=""),"",MIN(M69,M68))</f>
      </c>
      <c r="P69" s="22">
        <f>IF(N69="","",$F$16)</f>
      </c>
      <c r="Q69" s="410">
        <f>IF(N69="","",N69-O69+P69)</f>
      </c>
      <c r="R69" s="21"/>
      <c r="S69" s="567">
        <f>IF(R69="","",$AX$7)</f>
      </c>
      <c r="T69" s="23">
        <f>IF(R69="","",DK69)</f>
      </c>
      <c r="U69" s="16"/>
      <c r="V69" s="16"/>
      <c r="W69" s="567">
        <f>IF(U69="","",$AX$8)</f>
      </c>
      <c r="X69" s="23">
        <f>+DM69</f>
      </c>
      <c r="Y69" s="447"/>
      <c r="Z69" s="448"/>
      <c r="AA69" s="449"/>
      <c r="AB69" s="450"/>
      <c r="AC69" s="450"/>
      <c r="AD69" s="451"/>
      <c r="AE69" s="574">
        <f>IF(AC69="","",$AX$9)</f>
      </c>
      <c r="AF69" s="574">
        <f>IF(AC69="","",$AX$10)</f>
      </c>
      <c r="AG69" s="489">
        <f>IF(AB69="","",IF(CQ69&gt;=CX69,"○","×"))</f>
      </c>
      <c r="AH69" s="490">
        <f>IF(AG69="","",ROUND(CQ69-AS69/1000-CV69,3))</f>
      </c>
      <c r="AI69" s="491">
        <f>IF(AG69="","",IF(AG69="×","×",IF(OR(AD68="",AD68=$CT$17),AG69,IF(AND(CQ69&gt;=DA68,DA68&gt;=CX69),"○","×"))))</f>
      </c>
      <c r="AJ69" s="504"/>
      <c r="AK69" s="512"/>
      <c r="AL69" s="463">
        <f>+DG69</f>
      </c>
      <c r="AM69" s="464">
        <f>+DO69</f>
      </c>
      <c r="AN69" s="25">
        <f>IF(OR(AO69="",AQ69="",AP69=""),"",DF68)</f>
      </c>
      <c r="AO69" s="24"/>
      <c r="AP69" s="19"/>
      <c r="AQ69" s="19"/>
      <c r="AR69" s="22">
        <f>IF(AO69="","",VLOOKUP(AO69,$AO$7:$AQ$12,2,0))</f>
      </c>
      <c r="AS69" s="22">
        <f>IF(AO69="","",VLOOKUP(AO69,$AO$7:$AQ$12,3,0))</f>
      </c>
      <c r="AT69" s="20">
        <f>IF(AN69="","",AN69-AQ69*AP69/100)</f>
      </c>
      <c r="AU69" s="26">
        <f>IF(DF68="","",IF(Q69&gt;=$F$18,Q69,$F$18))</f>
      </c>
      <c r="AV69" s="27">
        <f>IF(AN69="","",N69-DF68)</f>
      </c>
      <c r="AW69" s="611">
        <f>IF(AU69&gt;AV69,AU69,AV69)</f>
      </c>
      <c r="AX69" s="28">
        <f>IF(AU69="","",IF((AV69-AU69)&lt;VLOOKUP(VALUE(RIGHT(AO69,3)),$AW$16:$AX$17,2,0),"標準","ドロップ"))</f>
      </c>
      <c r="AY69" s="591">
        <f>IF(Q69="","",DH69)</f>
      </c>
      <c r="AZ69" s="602"/>
      <c r="BA69" s="20">
        <f>IF(AT69="","",AT69-AZ69)</f>
      </c>
      <c r="BB69" s="29"/>
      <c r="BC69" s="30"/>
      <c r="BD69" s="11"/>
      <c r="BE69" s="377">
        <f t="shared" si="8"/>
      </c>
      <c r="BF69" s="378">
        <f t="shared" si="8"/>
      </c>
      <c r="BG69" s="379">
        <f t="shared" si="8"/>
      </c>
      <c r="BH69" s="865">
        <f>IF(E69&lt;&gt;"",E69,"")</f>
      </c>
      <c r="BI69" s="866"/>
      <c r="BJ69" s="292">
        <f>IF(N69&lt;&gt;"",N69,"")</f>
      </c>
      <c r="BK69" s="293">
        <f>'様式１０号'!AU69</f>
      </c>
      <c r="BL69" s="294">
        <f>'様式１０号'!AV69</f>
      </c>
      <c r="BM69" s="295">
        <f>+AX69</f>
      </c>
      <c r="BN69" s="296">
        <f>'様式１０号'!AY69</f>
      </c>
      <c r="BO69" s="297">
        <f>'様式１０号'!AN69</f>
      </c>
      <c r="BP69" s="298">
        <f>IF(AO69&lt;&gt;"",AO69,"")</f>
      </c>
      <c r="BQ69" s="299">
        <f>IF(AQ69&lt;&gt;"",AQ69,"")</f>
      </c>
      <c r="BR69" s="299">
        <f>IF(AP69&lt;&gt;"",AP69,"")</f>
      </c>
      <c r="BS69" s="300">
        <f>IF(BO69="","",BO69-BQ69*BR69/100)</f>
      </c>
      <c r="BT69" s="301">
        <f>IF(R69&lt;&gt;"",R69,"")</f>
      </c>
      <c r="BU69" s="302">
        <v>0.5</v>
      </c>
      <c r="BV69" s="297">
        <f>IF(BO69="","",ROUND(BO69-BU69*BR69/100,3))</f>
      </c>
      <c r="BW69" s="303">
        <v>0.1</v>
      </c>
      <c r="BX69" s="304">
        <f>IF(OR(BV69="",CH69="簡易推進"),"",ROUND(BT69-BV69+BW69,2))</f>
      </c>
      <c r="BY69" s="305"/>
      <c r="BZ69" s="306">
        <f>IF(BX69="","",IF(AND(BX69&lt;=1.5,BY69=""),"",IF(BX69+0.2&lt;=1.5,1.5,IF(BX69+0.2&lt;=2,2,IF(BX69+0.2&lt;=2.5,2.5)))))</f>
      </c>
      <c r="CA69" s="307"/>
      <c r="CB69" s="308">
        <f>IF(BZ69="","",IF(BX69&lt;=$CB$26,CA69,""))</f>
      </c>
      <c r="CC69" s="309">
        <f>IF(BZ69="","",IF(AND(BX69&gt;$CB$26,BX69&lt;=$CC$26),CA69,""))</f>
      </c>
      <c r="CD69" s="310">
        <f>IF(BZ69="","",IF(BX69&lt;=$CC$26,"",IF(AND(BX69&gt;$CC$26,BX69&lt;=$CD$26),CA69,"")))</f>
      </c>
      <c r="CE69" s="311"/>
      <c r="CF69" s="312"/>
      <c r="CG69" s="313"/>
      <c r="CH69" s="314"/>
      <c r="CI69" s="315"/>
      <c r="CK69" s="415">
        <f>E69</f>
        <v>0</v>
      </c>
      <c r="CL69" s="182"/>
      <c r="CM69" s="316">
        <f>IF(O69="","",O69-P69)</f>
      </c>
      <c r="CN69" s="317">
        <f>IF(O69="","",N69-CN68)</f>
      </c>
      <c r="CO69" s="317">
        <f>IF(AO69="","",IF(R69="","",R69-CO68-AS69/1000-AR69/1000))</f>
      </c>
      <c r="CP69" s="318">
        <f>IF(U69="","",U69-CP68-AS69/1000-AR69/1000+V69*AP69/100)</f>
      </c>
      <c r="CQ69" s="319">
        <f>IF(O69="","",MIN(CM69,CN69,CO69,CP69))</f>
      </c>
      <c r="CR69" s="390">
        <f>IF(Y69="","",Y69)</f>
      </c>
      <c r="CS69" s="320">
        <f>IF(OR(AA69="",AB69="",AC69="",AQ69&lt;AB69),"",IF(Z69="土被り",R69-AA69-AC69,IF(Z69="標高",AA69)))</f>
      </c>
      <c r="CT69" s="468">
        <f>IF(CS69="","",CS69+AC69)</f>
      </c>
      <c r="CU69" s="469">
        <f>IF(CS69="","",CS69+AB69*AP69/100)</f>
      </c>
      <c r="CV69" s="321">
        <f>IF(CT69="","",CT69+AB69*AP69/100)</f>
      </c>
      <c r="CW69" s="459">
        <f>AE69</f>
      </c>
      <c r="CX69" s="322">
        <f>IF(CS69="","",CV69+CW69+AS69/1000)</f>
      </c>
      <c r="CY69" s="460">
        <f>AF69</f>
      </c>
      <c r="CZ69" s="323">
        <f>IF(CS69="","",CU69-CY69-AS69/1000-AR69/1000)</f>
      </c>
      <c r="DA69" s="324">
        <f>IF(CS69="","",IF(OR(AD69=$CT$17,AND(CW69=0,CY69=0)),"",IF(CQ69&gt;=CX69,CQ69,MIN(CQ69,CZ69))))</f>
      </c>
      <c r="DB69" s="407">
        <f>IF(CU69="","",IF(CQ69&gt;=CX69,"○","×"))</f>
      </c>
      <c r="DC69" s="407">
        <f>IF(DA68="",DB69,IF(DB69="×","×",IF(AND(CW69=0,CY69=0),"○",IF(AND(CQ69&gt;=DA68,DA68&gt;=CX69),"○","×"))))</f>
      </c>
      <c r="DD69" s="475">
        <f>IF(AD69="","",AD69)</f>
      </c>
      <c r="DE69" s="325"/>
      <c r="DF69" s="326"/>
      <c r="DG69" s="322">
        <f>IF(CS69="","",IF(AND(CW69=0,CY69=0),"無視",IF(DF68&gt;=CU69,"上越し","下越し")))</f>
      </c>
      <c r="DH69" s="325" t="str">
        <f>IF(DF68=CQ69,CQ68,IF(CZ69=DF68,CR69&amp;DG69,CR68&amp;DG68))</f>
        <v>宅内配管</v>
      </c>
      <c r="DI69" s="327"/>
      <c r="DJ69" s="11"/>
      <c r="DK69" s="328">
        <f>IF(AN69="","",R69-DF68-AR69/1000-AS69/1000)</f>
      </c>
      <c r="DL69" s="254">
        <f>IF(U69="","",DF68-V69*AP69/100)</f>
      </c>
      <c r="DM69" s="329">
        <f>IF(U69="","",U69-DL69-AR69/1000-AS69/1000)</f>
      </c>
      <c r="DN69" s="254">
        <f>IF(CS69="","",DF68-AB69*AP69/100)</f>
      </c>
      <c r="DO69" s="330">
        <f>IF(CS69="","",IF(CS69&gt;=DN69,CS69-DN69-AR69/1000-AS69/1000,DN69-CT69-AS69/1000))</f>
      </c>
      <c r="DP69" s="331">
        <f>IF(CS68="","",DF68-AB68*AP69/100)</f>
      </c>
      <c r="DQ69" s="332">
        <f>IF(CS68="","",IF(CS68&gt;=DP69,CS68-DP69-AR69/1000-AS69/1000,DP69-CT68-AS69/1000))</f>
      </c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</row>
    <row r="70" spans="1:148" ht="15" customHeight="1">
      <c r="A70" s="168"/>
      <c r="B70" s="31"/>
      <c r="C70" s="32"/>
      <c r="D70" s="33"/>
      <c r="E70" s="34"/>
      <c r="F70" s="35"/>
      <c r="G70" s="6"/>
      <c r="H70" s="7"/>
      <c r="I70" s="8"/>
      <c r="J70" s="7"/>
      <c r="K70" s="36"/>
      <c r="L70" s="36"/>
      <c r="M70" s="12"/>
      <c r="N70" s="9"/>
      <c r="O70" s="7"/>
      <c r="P70" s="37"/>
      <c r="Q70" s="411"/>
      <c r="R70" s="9"/>
      <c r="S70" s="13"/>
      <c r="T70" s="7"/>
      <c r="U70" s="7"/>
      <c r="V70" s="7"/>
      <c r="W70" s="7"/>
      <c r="X70" s="7"/>
      <c r="Y70" s="38"/>
      <c r="Z70" s="8"/>
      <c r="AA70" s="13"/>
      <c r="AB70" s="7"/>
      <c r="AC70" s="7"/>
      <c r="AD70" s="7"/>
      <c r="AE70" s="37"/>
      <c r="AF70" s="37"/>
      <c r="AG70" s="493"/>
      <c r="AH70" s="494"/>
      <c r="AI70" s="493"/>
      <c r="AJ70" s="495"/>
      <c r="AK70" s="513"/>
      <c r="AL70" s="102"/>
      <c r="AM70" s="418"/>
      <c r="AN70" s="9"/>
      <c r="AO70" s="7"/>
      <c r="AP70" s="36"/>
      <c r="AQ70" s="7"/>
      <c r="AR70" s="7"/>
      <c r="AS70" s="7"/>
      <c r="AT70" s="12"/>
      <c r="AU70" s="39"/>
      <c r="AV70" s="40"/>
      <c r="AW70" s="612"/>
      <c r="AX70" s="38"/>
      <c r="AY70" s="592"/>
      <c r="AZ70" s="600"/>
      <c r="BA70" s="589"/>
      <c r="BB70" s="6"/>
      <c r="BC70" s="14"/>
      <c r="BD70" s="11"/>
      <c r="BE70" s="333"/>
      <c r="BF70" s="334"/>
      <c r="BG70" s="335"/>
      <c r="BH70" s="336"/>
      <c r="BI70" s="337"/>
      <c r="BJ70" s="258"/>
      <c r="BK70" s="338"/>
      <c r="BL70" s="339"/>
      <c r="BM70" s="200"/>
      <c r="BN70" s="261"/>
      <c r="BO70" s="259"/>
      <c r="BP70" s="262"/>
      <c r="BQ70" s="262"/>
      <c r="BR70" s="340"/>
      <c r="BS70" s="264"/>
      <c r="BT70" s="259"/>
      <c r="BU70" s="264"/>
      <c r="BV70" s="259"/>
      <c r="BW70" s="260"/>
      <c r="BX70" s="200"/>
      <c r="BY70" s="341"/>
      <c r="BZ70" s="267"/>
      <c r="CA70" s="268"/>
      <c r="CB70" s="269"/>
      <c r="CC70" s="270"/>
      <c r="CD70" s="271"/>
      <c r="CE70" s="272"/>
      <c r="CF70" s="270"/>
      <c r="CG70" s="267"/>
      <c r="CH70" s="273"/>
      <c r="CI70" s="83"/>
      <c r="CL70" s="182"/>
      <c r="CM70" s="343"/>
      <c r="CN70" s="344"/>
      <c r="CO70" s="344"/>
      <c r="CP70" s="344"/>
      <c r="CQ70" s="344"/>
      <c r="CR70" s="391"/>
      <c r="CS70" s="344"/>
      <c r="CT70" s="470"/>
      <c r="CU70" s="471"/>
      <c r="CV70" s="344"/>
      <c r="CW70" s="345"/>
      <c r="CX70" s="344"/>
      <c r="CY70" s="344"/>
      <c r="CZ70" s="346"/>
      <c r="DA70" s="344"/>
      <c r="DB70" s="408"/>
      <c r="DC70" s="408"/>
      <c r="DD70" s="408"/>
      <c r="DE70" s="344"/>
      <c r="DF70" s="344"/>
      <c r="DG70" s="344"/>
      <c r="DH70" s="344"/>
      <c r="DI70" s="347"/>
      <c r="DJ70" s="11"/>
      <c r="DK70" s="343"/>
      <c r="DL70" s="345"/>
      <c r="DM70" s="346"/>
      <c r="DN70" s="345"/>
      <c r="DO70" s="346"/>
      <c r="DP70" s="344"/>
      <c r="DQ70" s="347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</row>
    <row r="71" spans="1:148" ht="15" customHeight="1" thickBot="1">
      <c r="A71" s="168"/>
      <c r="B71" s="41"/>
      <c r="C71" s="42"/>
      <c r="D71" s="43"/>
      <c r="E71" s="44"/>
      <c r="F71" s="45"/>
      <c r="G71" s="46"/>
      <c r="H71" s="47"/>
      <c r="I71" s="48"/>
      <c r="J71" s="47"/>
      <c r="K71" s="49"/>
      <c r="L71" s="49"/>
      <c r="M71" s="50"/>
      <c r="N71" s="51"/>
      <c r="O71" s="47"/>
      <c r="P71" s="52"/>
      <c r="Q71" s="412"/>
      <c r="R71" s="51"/>
      <c r="S71" s="54"/>
      <c r="T71" s="47"/>
      <c r="U71" s="47"/>
      <c r="V71" s="47"/>
      <c r="W71" s="47"/>
      <c r="X71" s="47"/>
      <c r="Y71" s="53"/>
      <c r="Z71" s="48"/>
      <c r="AA71" s="54"/>
      <c r="AB71" s="47"/>
      <c r="AC71" s="47"/>
      <c r="AD71" s="47"/>
      <c r="AE71" s="52"/>
      <c r="AF71" s="52"/>
      <c r="AG71" s="496"/>
      <c r="AH71" s="497"/>
      <c r="AI71" s="496"/>
      <c r="AJ71" s="498"/>
      <c r="AK71" s="514"/>
      <c r="AL71" s="162"/>
      <c r="AM71" s="419"/>
      <c r="AN71" s="51"/>
      <c r="AO71" s="47"/>
      <c r="AP71" s="49"/>
      <c r="AQ71" s="47"/>
      <c r="AR71" s="47"/>
      <c r="AS71" s="47"/>
      <c r="AT71" s="50"/>
      <c r="AU71" s="55"/>
      <c r="AV71" s="56"/>
      <c r="AW71" s="613"/>
      <c r="AX71" s="53"/>
      <c r="AY71" s="593"/>
      <c r="AZ71" s="601"/>
      <c r="BA71" s="590"/>
      <c r="BB71" s="46"/>
      <c r="BC71" s="57"/>
      <c r="BD71" s="11"/>
      <c r="BE71" s="348"/>
      <c r="BF71" s="349"/>
      <c r="BG71" s="350"/>
      <c r="BH71" s="380"/>
      <c r="BI71" s="381"/>
      <c r="BJ71" s="353"/>
      <c r="BK71" s="354"/>
      <c r="BL71" s="355"/>
      <c r="BM71" s="356"/>
      <c r="BN71" s="357"/>
      <c r="BO71" s="358"/>
      <c r="BP71" s="359"/>
      <c r="BQ71" s="359"/>
      <c r="BR71" s="360"/>
      <c r="BS71" s="361"/>
      <c r="BT71" s="358"/>
      <c r="BU71" s="361"/>
      <c r="BV71" s="358"/>
      <c r="BW71" s="362"/>
      <c r="BX71" s="356"/>
      <c r="BY71" s="363"/>
      <c r="BZ71" s="364"/>
      <c r="CA71" s="365"/>
      <c r="CB71" s="366"/>
      <c r="CC71" s="367"/>
      <c r="CD71" s="368"/>
      <c r="CE71" s="382"/>
      <c r="CF71" s="367"/>
      <c r="CG71" s="364"/>
      <c r="CH71" s="370"/>
      <c r="CI71" s="371"/>
      <c r="CL71" s="182"/>
      <c r="CM71" s="372"/>
      <c r="CN71" s="373"/>
      <c r="CO71" s="373"/>
      <c r="CP71" s="373"/>
      <c r="CQ71" s="373"/>
      <c r="CR71" s="392"/>
      <c r="CS71" s="373"/>
      <c r="CT71" s="472"/>
      <c r="CU71" s="473"/>
      <c r="CV71" s="373"/>
      <c r="CW71" s="374"/>
      <c r="CX71" s="373"/>
      <c r="CY71" s="373"/>
      <c r="CZ71" s="375"/>
      <c r="DA71" s="373"/>
      <c r="DB71" s="409"/>
      <c r="DC71" s="409"/>
      <c r="DD71" s="409"/>
      <c r="DE71" s="373"/>
      <c r="DF71" s="373"/>
      <c r="DG71" s="373"/>
      <c r="DH71" s="373"/>
      <c r="DI71" s="376"/>
      <c r="DJ71" s="11"/>
      <c r="DK71" s="372"/>
      <c r="DL71" s="374"/>
      <c r="DM71" s="375"/>
      <c r="DN71" s="374"/>
      <c r="DO71" s="375"/>
      <c r="DP71" s="373"/>
      <c r="DQ71" s="376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</row>
    <row r="72" spans="1:148" ht="15" customHeight="1" thickBot="1">
      <c r="A72" s="168"/>
      <c r="B72" s="867">
        <f>IF(E73="","",B68)</f>
      </c>
      <c r="C72" s="868"/>
      <c r="D72" s="869"/>
      <c r="E72" s="870"/>
      <c r="F72" s="871"/>
      <c r="G72" s="6"/>
      <c r="H72" s="7"/>
      <c r="I72" s="8"/>
      <c r="J72" s="439"/>
      <c r="K72" s="440"/>
      <c r="L72" s="440"/>
      <c r="M72" s="441">
        <f>IF(J72="","",ROUND(J72-K72*L72/100,3))</f>
      </c>
      <c r="N72" s="9"/>
      <c r="O72" s="7"/>
      <c r="P72" s="7"/>
      <c r="Q72" s="411"/>
      <c r="R72" s="9"/>
      <c r="S72" s="13"/>
      <c r="T72" s="7"/>
      <c r="U72" s="7"/>
      <c r="V72" s="7"/>
      <c r="W72" s="7"/>
      <c r="X72" s="7"/>
      <c r="Y72" s="452"/>
      <c r="Z72" s="453"/>
      <c r="AA72" s="454"/>
      <c r="AB72" s="455"/>
      <c r="AC72" s="455"/>
      <c r="AD72" s="456"/>
      <c r="AE72" s="575">
        <f>IF(AC72="","",$AX$9)</f>
      </c>
      <c r="AF72" s="575">
        <f>IF(AC72="","",$AX$10)</f>
      </c>
      <c r="AG72" s="499">
        <f>IF(AB72="","",IF(CQ73&gt;=CX72,"○","×"))</f>
      </c>
      <c r="AH72" s="500">
        <f>IF(AG72="","",ROUND(CQ73-AS73/1000-CV72,3))</f>
      </c>
      <c r="AI72" s="501">
        <f>IF(AG72="","",IF(AG72="×","×",IF(OR(AD73="",AD73=$CT$17),AG72,IF(AND(CQ72&gt;=DA73,DA73&gt;=CX72),"○","×"))))</f>
      </c>
      <c r="AJ72" s="503"/>
      <c r="AK72" s="515"/>
      <c r="AL72" s="465">
        <f>+DG72</f>
      </c>
      <c r="AM72" s="466">
        <f>+DQ73</f>
      </c>
      <c r="AN72" s="9"/>
      <c r="AO72" s="7"/>
      <c r="AP72" s="10"/>
      <c r="AQ72" s="7"/>
      <c r="AR72" s="11"/>
      <c r="AS72" s="11"/>
      <c r="AT72" s="12"/>
      <c r="AU72" s="9"/>
      <c r="AV72" s="13"/>
      <c r="AW72" s="614"/>
      <c r="AX72" s="38"/>
      <c r="AY72" s="592"/>
      <c r="AZ72" s="600"/>
      <c r="BA72" s="589"/>
      <c r="BB72" s="6"/>
      <c r="BC72" s="14"/>
      <c r="BD72" s="11"/>
      <c r="BE72" s="872">
        <f aca="true" t="shared" si="9" ref="BE72:BG73">IF(B72&lt;&gt;"",B72,"")</f>
      </c>
      <c r="BF72" s="873"/>
      <c r="BG72" s="874"/>
      <c r="BH72" s="875">
        <f>IF(E72&lt;&gt;"",E72,"")</f>
      </c>
      <c r="BI72" s="876"/>
      <c r="BJ72" s="258"/>
      <c r="BK72" s="259"/>
      <c r="BL72" s="260"/>
      <c r="BM72" s="200"/>
      <c r="BN72" s="261"/>
      <c r="BO72" s="259"/>
      <c r="BP72" s="262"/>
      <c r="BQ72" s="262"/>
      <c r="BR72" s="263"/>
      <c r="BS72" s="264"/>
      <c r="BT72" s="265"/>
      <c r="BU72" s="266"/>
      <c r="BV72" s="259"/>
      <c r="BW72" s="260"/>
      <c r="BX72" s="200"/>
      <c r="BY72" s="341"/>
      <c r="BZ72" s="267"/>
      <c r="CA72" s="268"/>
      <c r="CB72" s="269"/>
      <c r="CC72" s="270"/>
      <c r="CD72" s="271"/>
      <c r="CE72" s="272"/>
      <c r="CF72" s="270"/>
      <c r="CG72" s="267"/>
      <c r="CH72" s="273"/>
      <c r="CI72" s="83"/>
      <c r="CL72" s="182"/>
      <c r="CM72" s="274"/>
      <c r="CN72" s="275">
        <f>$F$18</f>
        <v>0.85</v>
      </c>
      <c r="CO72" s="587">
        <f>S73</f>
      </c>
      <c r="CP72" s="276">
        <f>W73</f>
      </c>
      <c r="CQ72" s="277" t="str">
        <f>INDEX($CM$24:$CP$24,1,MATCH(CQ73,CM73:CP73,0))</f>
        <v>宅内配管</v>
      </c>
      <c r="CR72" s="389">
        <f>IF(Y72="","",Y72)</f>
      </c>
      <c r="CS72" s="278">
        <f>IF(OR(AA72="",AB72="",AC72="",AQ73&lt;AB72),"",IF(Z72="土被り",R73-AA72-AC72,IF(Z72="標高",AA72)))</f>
      </c>
      <c r="CT72" s="467">
        <f>IF(CS72="","",CS72+AC72)</f>
      </c>
      <c r="CU72" s="474">
        <f>IF(CS72="","",CS72+AB72*AP73/100)</f>
      </c>
      <c r="CV72" s="279">
        <f>IF(CT72="","",CT72+AB72*AP73/100)</f>
      </c>
      <c r="CW72" s="457">
        <f>AE72</f>
      </c>
      <c r="CX72" s="280">
        <f>IF(CS72="","",CV72+CW72+AS73/1000)</f>
      </c>
      <c r="CY72" s="458">
        <f>AF72</f>
      </c>
      <c r="CZ72" s="281">
        <f>IF(CS72="","",CU72-CY72-AS73/1000-AR73/1000)</f>
      </c>
      <c r="DA72" s="282">
        <f>IF(CS72="","",IF(OR(AND(CW72=0,CY72=0),AD72=$CT$17),"",IF(CQ73&gt;=CX72,CQ73,MIN(CQ73,CZ72))))</f>
      </c>
      <c r="DB72" s="406">
        <f>IF(CU72="","",IF(CQ73&gt;=CX72,"○","×"))</f>
      </c>
      <c r="DC72" s="406">
        <f>IF(DB72="","",IF(DB72="×","×",IF(AND(CW72=0,CY72=0),"○",IF(AND(CQ73&gt;=DA73,DA73&gt;=CX72),"○","×"))))</f>
      </c>
      <c r="DD72" s="475">
        <f>IF(AD72="","",AD72)</f>
      </c>
      <c r="DE72" s="283">
        <f>IF(AND(DA73="",DA72=""),"",MIN(DA73,DA72))</f>
      </c>
      <c r="DF72" s="284">
        <f>IF(DE72="",CQ73,IF(DA72="",DE72,IF(DA73="",DE72,IF(AND(DC72="×",DC73="×"),MIN(CZ73,CZ72,DA73,DA72),IF(DE72=DA73,IF(DC73="○",DA72,DA73),IF(DE72=DA72,IF(DC72="○",DA73,DA72)))))))</f>
      </c>
      <c r="DG72" s="285">
        <f>IF(CS72="","",IF(AND(CW72=0,CY72=0),"無視",IF(DF72&gt;=CU72,"上越し","下越し")))</f>
      </c>
      <c r="DH72" s="286"/>
      <c r="DI72" s="287"/>
      <c r="DJ72" s="11"/>
      <c r="DK72" s="218" t="s">
        <v>60</v>
      </c>
      <c r="DL72" s="288" t="s">
        <v>16</v>
      </c>
      <c r="DM72" s="289" t="s">
        <v>61</v>
      </c>
      <c r="DN72" s="288" t="s">
        <v>16</v>
      </c>
      <c r="DO72" s="289"/>
      <c r="DP72" s="290"/>
      <c r="DQ72" s="291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</row>
    <row r="73" spans="1:148" ht="15" customHeight="1" thickBot="1">
      <c r="A73" s="168"/>
      <c r="B73" s="58"/>
      <c r="C73" s="59"/>
      <c r="D73" s="588"/>
      <c r="E73" s="863"/>
      <c r="F73" s="864"/>
      <c r="G73" s="15">
        <f>$F$6</f>
        <v>0.1</v>
      </c>
      <c r="H73" s="16"/>
      <c r="I73" s="17">
        <f>IF(H73="","",IF(K73&lt;50,$I$8,IF(K73&lt;120,$I$9,$I$10)))</f>
      </c>
      <c r="J73" s="435">
        <f>IF(H73="","",H73-I73-G73)</f>
      </c>
      <c r="K73" s="436"/>
      <c r="L73" s="437">
        <f>IF(K73="","",IF(K73&lt;50,$I$12,IF(K73&lt;120,$I$13,$I$14)))</f>
      </c>
      <c r="M73" s="438">
        <f>IF(K73="","",ROUND(H73-I73-G73-K73*L73/100,3))</f>
      </c>
      <c r="N73" s="21"/>
      <c r="O73" s="18">
        <f>IF(AND(M73="",M72=""),"",MIN(M73,M72))</f>
      </c>
      <c r="P73" s="22">
        <f>IF(N73="","",$F$16)</f>
      </c>
      <c r="Q73" s="410">
        <f>IF(N73="","",N73-O73+P73)</f>
      </c>
      <c r="R73" s="21"/>
      <c r="S73" s="567">
        <f>IF(R73="","",$AX$7)</f>
      </c>
      <c r="T73" s="23">
        <f>IF(R73="","",DK73)</f>
      </c>
      <c r="U73" s="16"/>
      <c r="V73" s="16"/>
      <c r="W73" s="567">
        <f>IF(U73="","",$AX$8)</f>
      </c>
      <c r="X73" s="23">
        <f>+DM73</f>
      </c>
      <c r="Y73" s="447"/>
      <c r="Z73" s="448"/>
      <c r="AA73" s="449"/>
      <c r="AB73" s="450"/>
      <c r="AC73" s="450"/>
      <c r="AD73" s="451"/>
      <c r="AE73" s="574">
        <f>IF(AC73="","",$AX$9)</f>
      </c>
      <c r="AF73" s="574">
        <f>IF(AC73="","",$AX$10)</f>
      </c>
      <c r="AG73" s="489">
        <f>IF(AB73="","",IF(CQ73&gt;=CX73,"○","×"))</f>
      </c>
      <c r="AH73" s="490">
        <f>IF(AG73="","",ROUND(CQ73-AS73/1000-CV73,3))</f>
      </c>
      <c r="AI73" s="491">
        <f>IF(AG73="","",IF(AG73="×","×",IF(OR(AD72="",AD72=$CT$17),AG73,IF(AND(CQ73&gt;=DA72,DA72&gt;=CX73),"○","×"))))</f>
      </c>
      <c r="AJ73" s="504"/>
      <c r="AK73" s="512"/>
      <c r="AL73" s="463">
        <f>+DG73</f>
      </c>
      <c r="AM73" s="464">
        <f>+DO73</f>
      </c>
      <c r="AN73" s="25">
        <f>IF(OR(AO73="",AQ73="",AP73=""),"",DF72)</f>
      </c>
      <c r="AO73" s="24"/>
      <c r="AP73" s="19"/>
      <c r="AQ73" s="19"/>
      <c r="AR73" s="22">
        <f>IF(AO73="","",VLOOKUP(AO73,$AO$7:$AQ$12,2,0))</f>
      </c>
      <c r="AS73" s="22">
        <f>IF(AO73="","",VLOOKUP(AO73,$AO$7:$AQ$12,3,0))</f>
      </c>
      <c r="AT73" s="20">
        <f>IF(AN73="","",AN73-AQ73*AP73/100)</f>
      </c>
      <c r="AU73" s="26">
        <f>IF(DF72="","",IF(Q73&gt;=$F$18,Q73,$F$18))</f>
      </c>
      <c r="AV73" s="27">
        <f>IF(AN73="","",N73-DF72)</f>
      </c>
      <c r="AW73" s="611">
        <f>IF(AU73&gt;AV73,AU73,AV73)</f>
      </c>
      <c r="AX73" s="28">
        <f>IF(AU73="","",IF((AV73-AU73)&lt;VLOOKUP(VALUE(RIGHT(AO73,3)),$AW$16:$AX$17,2,0),"標準","ドロップ"))</f>
      </c>
      <c r="AY73" s="591">
        <f>IF(Q73="","",DH73)</f>
      </c>
      <c r="AZ73" s="602"/>
      <c r="BA73" s="20">
        <f>IF(AT73="","",AT73-AZ73)</f>
      </c>
      <c r="BB73" s="29"/>
      <c r="BC73" s="30"/>
      <c r="BD73" s="11"/>
      <c r="BE73" s="377">
        <f t="shared" si="9"/>
      </c>
      <c r="BF73" s="378">
        <f t="shared" si="9"/>
      </c>
      <c r="BG73" s="379">
        <f t="shared" si="9"/>
      </c>
      <c r="BH73" s="865">
        <f>IF(E73&lt;&gt;"",E73,"")</f>
      </c>
      <c r="BI73" s="866"/>
      <c r="BJ73" s="292">
        <f>IF(N73&lt;&gt;"",N73,"")</f>
      </c>
      <c r="BK73" s="293">
        <f>'様式１０号'!AU73</f>
      </c>
      <c r="BL73" s="294">
        <f>'様式１０号'!AV73</f>
      </c>
      <c r="BM73" s="295">
        <f>+AX73</f>
      </c>
      <c r="BN73" s="296">
        <f>'様式１０号'!AY73</f>
      </c>
      <c r="BO73" s="297">
        <f>'様式１０号'!AN73</f>
      </c>
      <c r="BP73" s="298">
        <f>IF(AO73&lt;&gt;"",AO73,"")</f>
      </c>
      <c r="BQ73" s="299">
        <f>IF(AQ73&lt;&gt;"",AQ73,"")</f>
      </c>
      <c r="BR73" s="299">
        <f>IF(AP73&lt;&gt;"",AP73,"")</f>
      </c>
      <c r="BS73" s="300">
        <f>IF(BO73="","",BO73-BQ73*BR73/100)</f>
      </c>
      <c r="BT73" s="301">
        <f>IF(R73&lt;&gt;"",R73,"")</f>
      </c>
      <c r="BU73" s="302">
        <v>0.5</v>
      </c>
      <c r="BV73" s="297">
        <f>IF(BO73="","",ROUND(BO73-BU73*BR73/100,3))</f>
      </c>
      <c r="BW73" s="303">
        <v>0.1</v>
      </c>
      <c r="BX73" s="304">
        <f>IF(OR(BV73="",CH73="簡易推進"),"",ROUND(BT73-BV73+BW73,2))</f>
      </c>
      <c r="BY73" s="305"/>
      <c r="BZ73" s="306">
        <f>IF(BX73="","",IF(AND(BX73&lt;=1.5,BY73=""),"",IF(BX73+0.2&lt;=1.5,1.5,IF(BX73+0.2&lt;=2,2,IF(BX73+0.2&lt;=2.5,2.5)))))</f>
      </c>
      <c r="CA73" s="307"/>
      <c r="CB73" s="308">
        <f>IF(BZ73="","",IF(BX73&lt;=$CB$26,CA73,""))</f>
      </c>
      <c r="CC73" s="309">
        <f>IF(BZ73="","",IF(AND(BX73&gt;$CB$26,BX73&lt;=$CC$26),CA73,""))</f>
      </c>
      <c r="CD73" s="310">
        <f>IF(BZ73="","",IF(BX73&lt;=$CC$26,"",IF(AND(BX73&gt;$CC$26,BX73&lt;=$CD$26),CA73,"")))</f>
      </c>
      <c r="CE73" s="311"/>
      <c r="CF73" s="312"/>
      <c r="CG73" s="313"/>
      <c r="CH73" s="314"/>
      <c r="CI73" s="315"/>
      <c r="CK73" s="415">
        <f>E73</f>
        <v>0</v>
      </c>
      <c r="CL73" s="182"/>
      <c r="CM73" s="316">
        <f>IF(O73="","",O73-P73)</f>
      </c>
      <c r="CN73" s="317">
        <f>IF(O73="","",N73-CN72)</f>
      </c>
      <c r="CO73" s="317">
        <f>IF(AO73="","",IF(R73="","",R73-CO72-AS73/1000-AR73/1000))</f>
      </c>
      <c r="CP73" s="318">
        <f>IF(U73="","",U73-CP72-AS73/1000-AR73/1000+V73*AP73/100)</f>
      </c>
      <c r="CQ73" s="319">
        <f>IF(O73="","",MIN(CM73,CN73,CO73,CP73))</f>
      </c>
      <c r="CR73" s="390">
        <f>IF(Y73="","",Y73)</f>
      </c>
      <c r="CS73" s="320">
        <f>IF(OR(AA73="",AB73="",AC73="",AQ73&lt;AB73),"",IF(Z73="土被り",R73-AA73-AC73,IF(Z73="標高",AA73)))</f>
      </c>
      <c r="CT73" s="468">
        <f>IF(CS73="","",CS73+AC73)</f>
      </c>
      <c r="CU73" s="469">
        <f>IF(CS73="","",CS73+AB73*AP73/100)</f>
      </c>
      <c r="CV73" s="321">
        <f>IF(CT73="","",CT73+AB73*AP73/100)</f>
      </c>
      <c r="CW73" s="459">
        <f>AE73</f>
      </c>
      <c r="CX73" s="322">
        <f>IF(CS73="","",CV73+CW73+AS73/1000)</f>
      </c>
      <c r="CY73" s="460">
        <f>AF73</f>
      </c>
      <c r="CZ73" s="323">
        <f>IF(CS73="","",CU73-CY73-AS73/1000-AR73/1000)</f>
      </c>
      <c r="DA73" s="324">
        <f>IF(CS73="","",IF(OR(AD73=$CT$17,AND(CW73=0,CY73=0)),"",IF(CQ73&gt;=CX73,CQ73,MIN(CQ73,CZ73))))</f>
      </c>
      <c r="DB73" s="407">
        <f>IF(CU73="","",IF(CQ73&gt;=CX73,"○","×"))</f>
      </c>
      <c r="DC73" s="407">
        <f>IF(DA72="",DB73,IF(DB73="×","×",IF(AND(CW73=0,CY73=0),"○",IF(AND(CQ73&gt;=DA72,DA72&gt;=CX73),"○","×"))))</f>
      </c>
      <c r="DD73" s="475">
        <f>IF(AD73="","",AD73)</f>
      </c>
      <c r="DE73" s="325"/>
      <c r="DF73" s="326"/>
      <c r="DG73" s="322">
        <f>IF(CS73="","",IF(AND(CW73=0,CY73=0),"無視",IF(DF72&gt;=CU73,"上越し","下越し")))</f>
      </c>
      <c r="DH73" s="325" t="str">
        <f>IF(DF72=CQ73,CQ72,IF(CZ73=DF72,CR73&amp;DG73,CR72&amp;DG72))</f>
        <v>宅内配管</v>
      </c>
      <c r="DI73" s="327"/>
      <c r="DJ73" s="11"/>
      <c r="DK73" s="328">
        <f>IF(AN73="","",R73-DF72-AR73/1000-AS73/1000)</f>
      </c>
      <c r="DL73" s="254">
        <f>IF(U73="","",DF72-V73*AP73/100)</f>
      </c>
      <c r="DM73" s="329">
        <f>IF(U73="","",U73-DL73-AR73/1000-AS73/1000)</f>
      </c>
      <c r="DN73" s="254">
        <f>IF(CS73="","",DF72-AB73*AP73/100)</f>
      </c>
      <c r="DO73" s="330">
        <f>IF(CS73="","",IF(CS73&gt;=DN73,CS73-DN73-AR73/1000-AS73/1000,DN73-CT73-AS73/1000))</f>
      </c>
      <c r="DP73" s="331">
        <f>IF(CS72="","",DF72-AB72*AP73/100)</f>
      </c>
      <c r="DQ73" s="332">
        <f>IF(CS72="","",IF(CS72&gt;=DP73,CS72-DP73-AR73/1000-AS73/1000,DP73-CT72-AS73/1000))</f>
      </c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</row>
    <row r="74" spans="1:148" ht="15" customHeight="1">
      <c r="A74" s="168"/>
      <c r="B74" s="31"/>
      <c r="C74" s="32"/>
      <c r="D74" s="33"/>
      <c r="E74" s="34"/>
      <c r="F74" s="35"/>
      <c r="G74" s="6"/>
      <c r="H74" s="7"/>
      <c r="I74" s="8"/>
      <c r="J74" s="7"/>
      <c r="K74" s="36"/>
      <c r="L74" s="36"/>
      <c r="M74" s="12"/>
      <c r="N74" s="9"/>
      <c r="O74" s="7"/>
      <c r="P74" s="37"/>
      <c r="Q74" s="411"/>
      <c r="R74" s="9"/>
      <c r="S74" s="13"/>
      <c r="T74" s="7"/>
      <c r="U74" s="7"/>
      <c r="V74" s="7"/>
      <c r="W74" s="7"/>
      <c r="X74" s="7"/>
      <c r="Y74" s="38"/>
      <c r="Z74" s="8"/>
      <c r="AA74" s="13"/>
      <c r="AB74" s="7"/>
      <c r="AC74" s="7"/>
      <c r="AD74" s="7"/>
      <c r="AE74" s="37"/>
      <c r="AF74" s="37"/>
      <c r="AG74" s="493"/>
      <c r="AH74" s="494"/>
      <c r="AI74" s="493"/>
      <c r="AJ74" s="495"/>
      <c r="AK74" s="513"/>
      <c r="AL74" s="102"/>
      <c r="AM74" s="418"/>
      <c r="AN74" s="9"/>
      <c r="AO74" s="7"/>
      <c r="AP74" s="36"/>
      <c r="AQ74" s="7"/>
      <c r="AR74" s="7"/>
      <c r="AS74" s="7"/>
      <c r="AT74" s="12"/>
      <c r="AU74" s="39"/>
      <c r="AV74" s="40"/>
      <c r="AW74" s="612"/>
      <c r="AX74" s="38"/>
      <c r="AY74" s="592"/>
      <c r="AZ74" s="600"/>
      <c r="BA74" s="589"/>
      <c r="BB74" s="6"/>
      <c r="BC74" s="14"/>
      <c r="BD74" s="11"/>
      <c r="BE74" s="333"/>
      <c r="BF74" s="334"/>
      <c r="BG74" s="335"/>
      <c r="BH74" s="336"/>
      <c r="BI74" s="337"/>
      <c r="BJ74" s="258"/>
      <c r="BK74" s="338"/>
      <c r="BL74" s="339"/>
      <c r="BM74" s="200"/>
      <c r="BN74" s="261"/>
      <c r="BO74" s="259"/>
      <c r="BP74" s="262"/>
      <c r="BQ74" s="262"/>
      <c r="BR74" s="340"/>
      <c r="BS74" s="264"/>
      <c r="BT74" s="259"/>
      <c r="BU74" s="264"/>
      <c r="BV74" s="259"/>
      <c r="BW74" s="260"/>
      <c r="BX74" s="200"/>
      <c r="BY74" s="341"/>
      <c r="BZ74" s="267"/>
      <c r="CA74" s="268"/>
      <c r="CB74" s="269"/>
      <c r="CC74" s="270"/>
      <c r="CD74" s="271"/>
      <c r="CE74" s="272"/>
      <c r="CF74" s="270"/>
      <c r="CG74" s="267"/>
      <c r="CH74" s="273"/>
      <c r="CI74" s="83"/>
      <c r="CL74" s="182"/>
      <c r="CM74" s="343"/>
      <c r="CN74" s="344"/>
      <c r="CO74" s="344"/>
      <c r="CP74" s="344"/>
      <c r="CQ74" s="344"/>
      <c r="CR74" s="391"/>
      <c r="CS74" s="344"/>
      <c r="CT74" s="470"/>
      <c r="CU74" s="471"/>
      <c r="CV74" s="344"/>
      <c r="CW74" s="345"/>
      <c r="CX74" s="344"/>
      <c r="CY74" s="344"/>
      <c r="CZ74" s="346"/>
      <c r="DA74" s="344"/>
      <c r="DB74" s="408"/>
      <c r="DC74" s="408"/>
      <c r="DD74" s="408"/>
      <c r="DE74" s="344"/>
      <c r="DF74" s="344"/>
      <c r="DG74" s="344"/>
      <c r="DH74" s="344"/>
      <c r="DI74" s="347"/>
      <c r="DJ74" s="11"/>
      <c r="DK74" s="343"/>
      <c r="DL74" s="345"/>
      <c r="DM74" s="346"/>
      <c r="DN74" s="345"/>
      <c r="DO74" s="346"/>
      <c r="DP74" s="344"/>
      <c r="DQ74" s="347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</row>
    <row r="75" spans="1:148" ht="15" customHeight="1" thickBot="1">
      <c r="A75" s="168"/>
      <c r="B75" s="41"/>
      <c r="C75" s="42"/>
      <c r="D75" s="43"/>
      <c r="E75" s="44"/>
      <c r="F75" s="45"/>
      <c r="G75" s="46"/>
      <c r="H75" s="47"/>
      <c r="I75" s="48"/>
      <c r="J75" s="47"/>
      <c r="K75" s="49"/>
      <c r="L75" s="49"/>
      <c r="M75" s="50"/>
      <c r="N75" s="51"/>
      <c r="O75" s="47"/>
      <c r="P75" s="52"/>
      <c r="Q75" s="412"/>
      <c r="R75" s="51"/>
      <c r="S75" s="54"/>
      <c r="T75" s="47"/>
      <c r="U75" s="47"/>
      <c r="V75" s="47"/>
      <c r="W75" s="47"/>
      <c r="X75" s="47"/>
      <c r="Y75" s="53"/>
      <c r="Z75" s="48"/>
      <c r="AA75" s="54"/>
      <c r="AB75" s="47"/>
      <c r="AC75" s="47"/>
      <c r="AD75" s="47"/>
      <c r="AE75" s="52"/>
      <c r="AF75" s="52"/>
      <c r="AG75" s="496"/>
      <c r="AH75" s="497"/>
      <c r="AI75" s="496"/>
      <c r="AJ75" s="498"/>
      <c r="AK75" s="514"/>
      <c r="AL75" s="162"/>
      <c r="AM75" s="419"/>
      <c r="AN75" s="51"/>
      <c r="AO75" s="47"/>
      <c r="AP75" s="49"/>
      <c r="AQ75" s="47"/>
      <c r="AR75" s="47"/>
      <c r="AS75" s="47"/>
      <c r="AT75" s="50"/>
      <c r="AU75" s="55"/>
      <c r="AV75" s="56"/>
      <c r="AW75" s="613"/>
      <c r="AX75" s="53"/>
      <c r="AY75" s="593"/>
      <c r="AZ75" s="601"/>
      <c r="BA75" s="590"/>
      <c r="BB75" s="46"/>
      <c r="BC75" s="57"/>
      <c r="BD75" s="11"/>
      <c r="BE75" s="348"/>
      <c r="BF75" s="349"/>
      <c r="BG75" s="350"/>
      <c r="BH75" s="380"/>
      <c r="BI75" s="381"/>
      <c r="BJ75" s="353"/>
      <c r="BK75" s="354"/>
      <c r="BL75" s="355"/>
      <c r="BM75" s="356"/>
      <c r="BN75" s="357"/>
      <c r="BO75" s="358"/>
      <c r="BP75" s="359"/>
      <c r="BQ75" s="359"/>
      <c r="BR75" s="360"/>
      <c r="BS75" s="361"/>
      <c r="BT75" s="358"/>
      <c r="BU75" s="361"/>
      <c r="BV75" s="358"/>
      <c r="BW75" s="362"/>
      <c r="BX75" s="356"/>
      <c r="BY75" s="363"/>
      <c r="BZ75" s="364"/>
      <c r="CA75" s="365"/>
      <c r="CB75" s="366"/>
      <c r="CC75" s="367"/>
      <c r="CD75" s="368"/>
      <c r="CE75" s="382"/>
      <c r="CF75" s="367"/>
      <c r="CG75" s="364"/>
      <c r="CH75" s="370"/>
      <c r="CI75" s="371"/>
      <c r="CL75" s="182"/>
      <c r="CM75" s="372"/>
      <c r="CN75" s="373"/>
      <c r="CO75" s="373"/>
      <c r="CP75" s="373"/>
      <c r="CQ75" s="373"/>
      <c r="CR75" s="392"/>
      <c r="CS75" s="373"/>
      <c r="CT75" s="472"/>
      <c r="CU75" s="473"/>
      <c r="CV75" s="373"/>
      <c r="CW75" s="374"/>
      <c r="CX75" s="373"/>
      <c r="CY75" s="373"/>
      <c r="CZ75" s="375"/>
      <c r="DA75" s="373"/>
      <c r="DB75" s="409"/>
      <c r="DC75" s="409"/>
      <c r="DD75" s="409"/>
      <c r="DE75" s="373"/>
      <c r="DF75" s="373"/>
      <c r="DG75" s="373"/>
      <c r="DH75" s="373"/>
      <c r="DI75" s="376"/>
      <c r="DJ75" s="11"/>
      <c r="DK75" s="372"/>
      <c r="DL75" s="374"/>
      <c r="DM75" s="375"/>
      <c r="DN75" s="374"/>
      <c r="DO75" s="375"/>
      <c r="DP75" s="373"/>
      <c r="DQ75" s="376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</row>
    <row r="76" spans="1:148" ht="15" customHeight="1" thickBot="1">
      <c r="A76" s="168"/>
      <c r="B76" s="867">
        <f>IF(E77="","",B72)</f>
      </c>
      <c r="C76" s="868"/>
      <c r="D76" s="869"/>
      <c r="E76" s="870"/>
      <c r="F76" s="871"/>
      <c r="G76" s="576"/>
      <c r="H76" s="580"/>
      <c r="I76" s="578"/>
      <c r="J76" s="439"/>
      <c r="K76" s="440"/>
      <c r="L76" s="440"/>
      <c r="M76" s="441">
        <f>IF(J76="","",ROUND(J76-K76*L76/100,3))</f>
      </c>
      <c r="N76" s="579"/>
      <c r="O76" s="580"/>
      <c r="P76" s="580"/>
      <c r="Q76" s="581"/>
      <c r="R76" s="579"/>
      <c r="S76" s="582"/>
      <c r="T76" s="580"/>
      <c r="U76" s="580"/>
      <c r="V76" s="580"/>
      <c r="W76" s="580"/>
      <c r="X76" s="580"/>
      <c r="Y76" s="452"/>
      <c r="Z76" s="453"/>
      <c r="AA76" s="454"/>
      <c r="AB76" s="455"/>
      <c r="AC76" s="455"/>
      <c r="AD76" s="456"/>
      <c r="AE76" s="575">
        <f>IF(AC76="","",$AX$9)</f>
      </c>
      <c r="AF76" s="575">
        <f>IF(AC76="","",$AX$10)</f>
      </c>
      <c r="AG76" s="499">
        <f>IF(AB76="","",IF(CQ77&gt;=CX76,"○","×"))</f>
      </c>
      <c r="AH76" s="500">
        <f>IF(AG76="","",ROUND(CQ77-AS77/1000-CV76,3))</f>
      </c>
      <c r="AI76" s="501">
        <f>IF(AG76="","",IF(AG76="×","×",IF(OR(AD77="",AD77=$CT$17),AG76,IF(AND(CQ76&gt;=DA77,DA77&gt;=CX76),"○","×"))))</f>
      </c>
      <c r="AJ76" s="502"/>
      <c r="AK76" s="515"/>
      <c r="AL76" s="465">
        <f>+DG76</f>
      </c>
      <c r="AM76" s="466">
        <f>+DQ77</f>
      </c>
      <c r="AN76" s="579"/>
      <c r="AO76" s="580"/>
      <c r="AP76" s="583"/>
      <c r="AQ76" s="580"/>
      <c r="AR76" s="584"/>
      <c r="AS76" s="584"/>
      <c r="AT76" s="585"/>
      <c r="AU76" s="579"/>
      <c r="AV76" s="582"/>
      <c r="AW76" s="615"/>
      <c r="AX76" s="577"/>
      <c r="AY76" s="594"/>
      <c r="AZ76" s="600"/>
      <c r="BA76" s="589"/>
      <c r="BB76" s="576"/>
      <c r="BC76" s="586"/>
      <c r="BD76" s="11"/>
      <c r="BE76" s="872">
        <f>IF(B76&lt;&gt;"",B76,"")</f>
      </c>
      <c r="BF76" s="873"/>
      <c r="BG76" s="874"/>
      <c r="BH76" s="875">
        <f>IF(E76&lt;&gt;"",E76,"")</f>
      </c>
      <c r="BI76" s="876"/>
      <c r="BJ76" s="258"/>
      <c r="BK76" s="259"/>
      <c r="BL76" s="260"/>
      <c r="BM76" s="200"/>
      <c r="BN76" s="261"/>
      <c r="BO76" s="259"/>
      <c r="BP76" s="262"/>
      <c r="BQ76" s="262"/>
      <c r="BR76" s="263"/>
      <c r="BS76" s="264"/>
      <c r="BT76" s="265"/>
      <c r="BU76" s="266"/>
      <c r="BV76" s="259"/>
      <c r="BW76" s="260"/>
      <c r="BX76" s="200"/>
      <c r="BY76" s="341"/>
      <c r="BZ76" s="267"/>
      <c r="CA76" s="268"/>
      <c r="CB76" s="269"/>
      <c r="CC76" s="270"/>
      <c r="CD76" s="271"/>
      <c r="CE76" s="272"/>
      <c r="CF76" s="270"/>
      <c r="CG76" s="267"/>
      <c r="CH76" s="273"/>
      <c r="CI76" s="83"/>
      <c r="CL76" s="182"/>
      <c r="CM76" s="274"/>
      <c r="CN76" s="275">
        <f>$F$18</f>
        <v>0.85</v>
      </c>
      <c r="CO76" s="587">
        <f>S77</f>
      </c>
      <c r="CP76" s="276">
        <f>W77</f>
      </c>
      <c r="CQ76" s="277" t="str">
        <f>INDEX($CM$24:$CP$24,1,MATCH(CQ77,CM77:CP77,0))</f>
        <v>宅内配管</v>
      </c>
      <c r="CR76" s="389">
        <f>IF(Y76="","",Y76)</f>
      </c>
      <c r="CS76" s="278">
        <f>IF(OR(AA76="",AB76="",AC76="",AQ77&lt;AB76),"",IF(Z76="土被り",R77-AA76-AC76,IF(Z76="標高",AA76)))</f>
      </c>
      <c r="CT76" s="467">
        <f>IF(CS76="","",CS76+AC76)</f>
      </c>
      <c r="CU76" s="474">
        <f>IF(CS76="","",CS76+AB76*AP77/100)</f>
      </c>
      <c r="CV76" s="279">
        <f>IF(CT76="","",CT76+AB76*AP77/100)</f>
      </c>
      <c r="CW76" s="457">
        <f>AE76</f>
      </c>
      <c r="CX76" s="280">
        <f>IF(CS76="","",CV76+CW76+AS77/1000)</f>
      </c>
      <c r="CY76" s="458">
        <f>AF76</f>
      </c>
      <c r="CZ76" s="281">
        <f>IF(CS76="","",CU76-CY76-AS77/1000-AR77/1000)</f>
      </c>
      <c r="DA76" s="282">
        <f>IF(CS76="","",IF(OR(AND(CW76=0,CY76=0),AD76=$CT$17),"",IF(CQ77&gt;=CX76,CQ77,MIN(CQ77,CZ76))))</f>
      </c>
      <c r="DB76" s="406">
        <f>IF(CU76="","",IF(CQ77&gt;=CX76,"○","×"))</f>
      </c>
      <c r="DC76" s="406">
        <f>IF(DB76="","",IF(DB76="×","×",IF(AND(CW76=0,CY76=0),"○",IF(AND(CQ77&gt;=DA77,DA77&gt;=CX76),"○","×"))))</f>
      </c>
      <c r="DD76" s="475">
        <f>IF(AD76="","",AD76)</f>
      </c>
      <c r="DE76" s="283">
        <f>IF(AND(DA77="",DA76=""),"",MIN(DA77,DA76))</f>
      </c>
      <c r="DF76" s="284">
        <f>IF(DE76="",CQ77,IF(DA76="",DE76,IF(DA77="",DE76,IF(AND(DC76="×",DC77="×"),MIN(CZ77,CZ76,DA77,DA76),IF(DE76=DA77,IF(DC77="○",DA76,DA77),IF(DE76=DA76,IF(DC76="○",DA77,DA76)))))))</f>
      </c>
      <c r="DG76" s="285">
        <f>IF(CS76="","",IF(AND(CW76=0,CY76=0),"無視",IF(DF76&gt;=CU76,"上越し","下越し")))</f>
      </c>
      <c r="DH76" s="286"/>
      <c r="DI76" s="287"/>
      <c r="DJ76" s="11"/>
      <c r="DK76" s="218" t="s">
        <v>58</v>
      </c>
      <c r="DL76" s="288" t="s">
        <v>16</v>
      </c>
      <c r="DM76" s="289" t="s">
        <v>59</v>
      </c>
      <c r="DN76" s="288" t="s">
        <v>16</v>
      </c>
      <c r="DO76" s="289"/>
      <c r="DP76" s="290"/>
      <c r="DQ76" s="291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</row>
    <row r="77" spans="1:148" ht="15" customHeight="1" thickBot="1">
      <c r="A77" s="168"/>
      <c r="B77" s="58"/>
      <c r="C77" s="59"/>
      <c r="D77" s="588"/>
      <c r="E77" s="863"/>
      <c r="F77" s="864"/>
      <c r="G77" s="15">
        <f>$F$6</f>
        <v>0.1</v>
      </c>
      <c r="H77" s="16"/>
      <c r="I77" s="17">
        <f>IF(H77="","",IF(K77&lt;50,$I$8,IF(K77&lt;120,$I$9,$I$10)))</f>
      </c>
      <c r="J77" s="435">
        <f>IF(H77="","",H77-I77-G77)</f>
      </c>
      <c r="K77" s="436"/>
      <c r="L77" s="437">
        <f>IF(K77="","",IF(K77&lt;50,$I$12,IF(K77&lt;120,$I$13,$I$14)))</f>
      </c>
      <c r="M77" s="438">
        <f>IF(K77="","",ROUND(H77-I77-G77-K77*L77/100,3))</f>
      </c>
      <c r="N77" s="21"/>
      <c r="O77" s="18">
        <f>IF(AND(M77="",M76=""),"",MIN(M77,M76))</f>
      </c>
      <c r="P77" s="22">
        <f>IF(N77="","",$F$16)</f>
      </c>
      <c r="Q77" s="410">
        <f>IF(N77="","",N77-O77+P77)</f>
      </c>
      <c r="R77" s="21"/>
      <c r="S77" s="567">
        <f>IF(R77="","",$AX$7)</f>
      </c>
      <c r="T77" s="23">
        <f>IF(R77="","",DK77)</f>
      </c>
      <c r="U77" s="16"/>
      <c r="V77" s="16"/>
      <c r="W77" s="567">
        <f>IF(U77="","",$AX$8)</f>
      </c>
      <c r="X77" s="23">
        <f>+DM77</f>
      </c>
      <c r="Y77" s="447"/>
      <c r="Z77" s="448"/>
      <c r="AA77" s="449"/>
      <c r="AB77" s="450"/>
      <c r="AC77" s="450"/>
      <c r="AD77" s="451"/>
      <c r="AE77" s="574">
        <f>IF(AC77="","",$AX$9)</f>
      </c>
      <c r="AF77" s="574">
        <f>IF(AC77="","",$AX$10)</f>
      </c>
      <c r="AG77" s="489">
        <f>IF(AB77="","",IF(CQ77&gt;=CX77,"○","×"))</f>
      </c>
      <c r="AH77" s="490">
        <f>IF(AG77="","",ROUND(CQ77-AS77/1000-CV77,3))</f>
      </c>
      <c r="AI77" s="491">
        <f>IF(AG77="","",IF(AG77="×","×",IF(OR(AD76="",AD76=$CT$17),AG77,IF(AND(CQ77&gt;=DA76,DA76&gt;=CX77),"○","×"))))</f>
      </c>
      <c r="AJ77" s="492"/>
      <c r="AK77" s="512"/>
      <c r="AL77" s="463">
        <f>+DG77</f>
      </c>
      <c r="AM77" s="464">
        <f>+DO77</f>
      </c>
      <c r="AN77" s="25">
        <f>IF(OR(AO77="",AQ77="",AP77=""),"",DF76)</f>
      </c>
      <c r="AO77" s="24"/>
      <c r="AP77" s="19"/>
      <c r="AQ77" s="19"/>
      <c r="AR77" s="22">
        <f>IF(AO77="","",VLOOKUP(AO77,$AO$7:$AQ$12,2,0))</f>
      </c>
      <c r="AS77" s="22">
        <f>IF(AO77="","",VLOOKUP(AO77,$AO$7:$AQ$12,3,0))</f>
      </c>
      <c r="AT77" s="20">
        <f>IF(AN77="","",AN77-AQ77*AP77/100)</f>
      </c>
      <c r="AU77" s="26">
        <f>IF(DF76="","",IF(Q77&gt;=$F$18,Q77,$F$18))</f>
      </c>
      <c r="AV77" s="27">
        <f>IF(AN77="","",N77-DF76)</f>
      </c>
      <c r="AW77" s="611">
        <f>IF(AU77&gt;AV77,AU77,AV77)</f>
      </c>
      <c r="AX77" s="28">
        <f>IF(AU77="","",IF((AV77-AU77)&lt;VLOOKUP(VALUE(RIGHT(AO77,3)),$AW$16:$AX$17,2,0),"標準","ドロップ"))</f>
      </c>
      <c r="AY77" s="591">
        <f>IF(Q77="","",DH77)</f>
      </c>
      <c r="AZ77" s="602"/>
      <c r="BA77" s="20">
        <f>IF(AT77="","",AT77-AZ77)</f>
      </c>
      <c r="BB77" s="29"/>
      <c r="BC77" s="30"/>
      <c r="BD77" s="11"/>
      <c r="BE77" s="377">
        <f>IF(B77&lt;&gt;"",B77,"")</f>
      </c>
      <c r="BF77" s="378">
        <f>IF(C77&lt;&gt;"",C77,"")</f>
      </c>
      <c r="BG77" s="379">
        <f>IF(D77&lt;&gt;"",D77,"")</f>
      </c>
      <c r="BH77" s="865">
        <f>IF(E77&lt;&gt;"",E77,"")</f>
      </c>
      <c r="BI77" s="866"/>
      <c r="BJ77" s="292">
        <f>IF(N77&lt;&gt;"",N77,"")</f>
      </c>
      <c r="BK77" s="293">
        <f>'様式１０号'!AU77</f>
      </c>
      <c r="BL77" s="294">
        <f>'様式１０号'!AV77</f>
      </c>
      <c r="BM77" s="295">
        <f>+AX77</f>
      </c>
      <c r="BN77" s="296">
        <f>'様式１０号'!AY77</f>
      </c>
      <c r="BO77" s="297">
        <f>'様式１０号'!AN77</f>
      </c>
      <c r="BP77" s="298">
        <f>IF(AO77&lt;&gt;"",AO77,"")</f>
      </c>
      <c r="BQ77" s="299">
        <f>IF(AQ77&lt;&gt;"",AQ77,"")</f>
      </c>
      <c r="BR77" s="299">
        <f>IF(AP77&lt;&gt;"",AP77,"")</f>
      </c>
      <c r="BS77" s="300">
        <f>IF(BO77="","",BO77-BQ77*BR77/100)</f>
      </c>
      <c r="BT77" s="301">
        <f>IF(R77&lt;&gt;"",R77,"")</f>
      </c>
      <c r="BU77" s="302">
        <v>0.5</v>
      </c>
      <c r="BV77" s="297">
        <f>IF(BO77="","",ROUND(BO77-BU77*BR77/100,3))</f>
      </c>
      <c r="BW77" s="303">
        <v>0.1</v>
      </c>
      <c r="BX77" s="304">
        <f>IF(OR(BV77="",CH77="簡易推進"),"",ROUND(BT77-BV77+BW77,2))</f>
      </c>
      <c r="BY77" s="305"/>
      <c r="BZ77" s="306">
        <f>IF(BX77="","",IF(AND(BX77&lt;=1.5,BY77=""),"",IF(BX77+0.2&lt;=1.5,1.5,IF(BX77+0.2&lt;=2,2,IF(BX77+0.2&lt;=2.5,2.5)))))</f>
      </c>
      <c r="CA77" s="307"/>
      <c r="CB77" s="308">
        <f>IF(BZ77="","",IF(BX77&lt;=$CB$26,CA77,""))</f>
      </c>
      <c r="CC77" s="309">
        <f>IF(BZ77="","",IF(AND(BX77&gt;$CB$26,BX77&lt;=$CC$26),CA77,""))</f>
      </c>
      <c r="CD77" s="310">
        <f>IF(BZ77="","",IF(BX77&lt;=$CC$26,"",IF(AND(BX77&gt;$CC$26,BX77&lt;=$CD$26),CA77,"")))</f>
      </c>
      <c r="CE77" s="311"/>
      <c r="CF77" s="312"/>
      <c r="CG77" s="313"/>
      <c r="CH77" s="314"/>
      <c r="CI77" s="315"/>
      <c r="CK77" s="415">
        <f>E77</f>
        <v>0</v>
      </c>
      <c r="CL77" s="182"/>
      <c r="CM77" s="316">
        <f>IF(O77="","",O77-P77)</f>
      </c>
      <c r="CN77" s="317">
        <f>IF(O77="","",N77-CN76)</f>
      </c>
      <c r="CO77" s="317">
        <f>IF(AO77="","",IF(R77="","",R77-CO76-AS77/1000-AR77/1000))</f>
      </c>
      <c r="CP77" s="318">
        <f>IF(U77="","",U77-CP76-AS77/1000-AR77/1000+V77*AP77/100)</f>
      </c>
      <c r="CQ77" s="319">
        <f>IF(O77="","",MIN(CM77,CN77,CO77,CP77))</f>
      </c>
      <c r="CR77" s="390">
        <f>IF(Y77="","",Y77)</f>
      </c>
      <c r="CS77" s="320">
        <f>IF(OR(AA77="",AB77="",AC77="",AQ77&lt;AB77),"",IF(Z77="土被り",R77-AA77-AC77,IF(Z77="標高",AA77)))</f>
      </c>
      <c r="CT77" s="468">
        <f>IF(CS77="","",CS77+AC77)</f>
      </c>
      <c r="CU77" s="469">
        <f>IF(CS77="","",CS77+AB77*AP77/100)</f>
      </c>
      <c r="CV77" s="321">
        <f>IF(CT77="","",CT77+AB77*AP77/100)</f>
      </c>
      <c r="CW77" s="459">
        <f>AE77</f>
      </c>
      <c r="CX77" s="322">
        <f>IF(CS77="","",CV77+CW77+AS77/1000)</f>
      </c>
      <c r="CY77" s="460">
        <f>AF77</f>
      </c>
      <c r="CZ77" s="323">
        <f>IF(CS77="","",CU77-CY77-AS77/1000-AR77/1000)</f>
      </c>
      <c r="DA77" s="324">
        <f>IF(CS77="","",IF(OR(AD77=$CT$17,AND(CW77=0,CY77=0)),"",IF(CQ77&gt;=CX77,CQ77,MIN(CQ77,CZ77))))</f>
      </c>
      <c r="DB77" s="407">
        <f>IF(CU77="","",IF(CQ77&gt;=CX77,"○","×"))</f>
      </c>
      <c r="DC77" s="407">
        <f>IF(DA76="",DB77,IF(DB77="×","×",IF(AND(CW77=0,CY77=0),"○",IF(AND(CQ77&gt;=DA76,DA76&gt;=CX77),"○","×"))))</f>
      </c>
      <c r="DD77" s="475">
        <f>IF(AD77="","",AD77)</f>
      </c>
      <c r="DE77" s="325"/>
      <c r="DF77" s="326"/>
      <c r="DG77" s="322">
        <f>IF(CS77="","",IF(AND(CW77=0,CY77=0),"無視",IF(DF76&gt;=CU77,"上越し","下越し")))</f>
      </c>
      <c r="DH77" s="325" t="str">
        <f>IF(DF76=CQ77,CQ76,IF(CZ77=DF76,CR77&amp;DG77,CR76&amp;DG76))</f>
        <v>宅内配管</v>
      </c>
      <c r="DI77" s="327"/>
      <c r="DJ77" s="11"/>
      <c r="DK77" s="328">
        <f>IF(AN77="","",R77-DF76-AR77/1000-AS77/1000)</f>
      </c>
      <c r="DL77" s="254">
        <f>IF(U77="","",DF76-V77*AP77/100)</f>
      </c>
      <c r="DM77" s="329">
        <f>IF(U77="","",U77-DL77-AR77/1000-AS77/1000)</f>
      </c>
      <c r="DN77" s="254">
        <f>IF(CS77="","",DF76-AB77*AP77/100)</f>
      </c>
      <c r="DO77" s="330">
        <f>IF(CS77="","",IF(CS77&gt;=DN77,CS77-DN77-AR77/1000-AS77/1000,DN77-CT77-AS77/1000))</f>
      </c>
      <c r="DP77" s="331">
        <f>IF(CS76="","",DF76-AB76*AP77/100)</f>
      </c>
      <c r="DQ77" s="332">
        <f>IF(CS76="","",IF(CS76&gt;=DP77,CS76-DP77-AR77/1000-AS77/1000,DP77-CT76-AS77/1000))</f>
      </c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</row>
    <row r="78" spans="1:121" s="165" customFormat="1" ht="15" customHeight="1">
      <c r="A78" s="168"/>
      <c r="B78" s="31"/>
      <c r="C78" s="32"/>
      <c r="D78" s="33"/>
      <c r="E78" s="34"/>
      <c r="F78" s="35"/>
      <c r="G78" s="6"/>
      <c r="H78" s="7"/>
      <c r="I78" s="8"/>
      <c r="J78" s="7"/>
      <c r="K78" s="36"/>
      <c r="L78" s="36"/>
      <c r="M78" s="12"/>
      <c r="N78" s="9"/>
      <c r="O78" s="7"/>
      <c r="P78" s="37"/>
      <c r="Q78" s="411"/>
      <c r="R78" s="9"/>
      <c r="S78" s="13"/>
      <c r="T78" s="7"/>
      <c r="U78" s="7"/>
      <c r="V78" s="7"/>
      <c r="W78" s="7"/>
      <c r="X78" s="7"/>
      <c r="Y78" s="38"/>
      <c r="Z78" s="8"/>
      <c r="AA78" s="13"/>
      <c r="AB78" s="7"/>
      <c r="AC78" s="7"/>
      <c r="AD78" s="7"/>
      <c r="AE78" s="37"/>
      <c r="AF78" s="37"/>
      <c r="AG78" s="493"/>
      <c r="AH78" s="494"/>
      <c r="AI78" s="493"/>
      <c r="AJ78" s="495"/>
      <c r="AK78" s="513"/>
      <c r="AL78" s="102"/>
      <c r="AM78" s="384"/>
      <c r="AN78" s="9"/>
      <c r="AO78" s="7"/>
      <c r="AP78" s="36"/>
      <c r="AQ78" s="7"/>
      <c r="AR78" s="7"/>
      <c r="AS78" s="7"/>
      <c r="AT78" s="12"/>
      <c r="AU78" s="39"/>
      <c r="AV78" s="40"/>
      <c r="AW78" s="612"/>
      <c r="AX78" s="38"/>
      <c r="AY78" s="592"/>
      <c r="AZ78" s="600"/>
      <c r="BA78" s="589"/>
      <c r="BB78" s="6"/>
      <c r="BC78" s="14"/>
      <c r="BD78" s="11"/>
      <c r="BE78" s="333"/>
      <c r="BF78" s="334"/>
      <c r="BG78" s="335"/>
      <c r="BH78" s="336"/>
      <c r="BI78" s="337"/>
      <c r="BJ78" s="258"/>
      <c r="BK78" s="338"/>
      <c r="BL78" s="339"/>
      <c r="BM78" s="200"/>
      <c r="BN78" s="261"/>
      <c r="BO78" s="259"/>
      <c r="BP78" s="262"/>
      <c r="BQ78" s="262"/>
      <c r="BR78" s="340"/>
      <c r="BS78" s="264"/>
      <c r="BT78" s="259"/>
      <c r="BU78" s="264"/>
      <c r="BV78" s="259"/>
      <c r="BW78" s="260"/>
      <c r="BX78" s="200"/>
      <c r="BY78" s="341"/>
      <c r="BZ78" s="267"/>
      <c r="CA78" s="268"/>
      <c r="CB78" s="269"/>
      <c r="CC78" s="270"/>
      <c r="CD78" s="271"/>
      <c r="CE78" s="272"/>
      <c r="CF78" s="270"/>
      <c r="CG78" s="267"/>
      <c r="CH78" s="273"/>
      <c r="CI78" s="83"/>
      <c r="CJ78" s="166"/>
      <c r="CK78" s="166"/>
      <c r="CL78" s="182"/>
      <c r="CM78" s="343"/>
      <c r="CN78" s="344"/>
      <c r="CO78" s="344"/>
      <c r="CP78" s="344"/>
      <c r="CQ78" s="344"/>
      <c r="CR78" s="391"/>
      <c r="CS78" s="344"/>
      <c r="CT78" s="470"/>
      <c r="CU78" s="471"/>
      <c r="CV78" s="344"/>
      <c r="CW78" s="345"/>
      <c r="CX78" s="344"/>
      <c r="CY78" s="344"/>
      <c r="CZ78" s="346"/>
      <c r="DA78" s="344"/>
      <c r="DB78" s="408"/>
      <c r="DC78" s="408"/>
      <c r="DD78" s="408"/>
      <c r="DE78" s="344"/>
      <c r="DF78" s="344"/>
      <c r="DG78" s="344"/>
      <c r="DH78" s="344"/>
      <c r="DI78" s="347"/>
      <c r="DJ78" s="11"/>
      <c r="DK78" s="343"/>
      <c r="DL78" s="345"/>
      <c r="DM78" s="346"/>
      <c r="DN78" s="345"/>
      <c r="DO78" s="346"/>
      <c r="DP78" s="344"/>
      <c r="DQ78" s="347"/>
    </row>
    <row r="79" spans="1:121" s="165" customFormat="1" ht="15" customHeight="1" thickBot="1">
      <c r="A79" s="168"/>
      <c r="B79" s="61"/>
      <c r="C79" s="62"/>
      <c r="D79" s="63"/>
      <c r="E79" s="64"/>
      <c r="F79" s="65"/>
      <c r="G79" s="66"/>
      <c r="H79" s="67"/>
      <c r="I79" s="68"/>
      <c r="J79" s="67"/>
      <c r="K79" s="69"/>
      <c r="L79" s="69"/>
      <c r="M79" s="70"/>
      <c r="N79" s="71"/>
      <c r="O79" s="67"/>
      <c r="P79" s="72"/>
      <c r="Q79" s="413"/>
      <c r="R79" s="71"/>
      <c r="S79" s="74"/>
      <c r="T79" s="67"/>
      <c r="U79" s="67"/>
      <c r="V79" s="67"/>
      <c r="W79" s="67"/>
      <c r="X79" s="67"/>
      <c r="Y79" s="73"/>
      <c r="Z79" s="68"/>
      <c r="AA79" s="74"/>
      <c r="AB79" s="67"/>
      <c r="AC79" s="67"/>
      <c r="AD79" s="67"/>
      <c r="AE79" s="72"/>
      <c r="AF79" s="72"/>
      <c r="AG79" s="505"/>
      <c r="AH79" s="506"/>
      <c r="AI79" s="505"/>
      <c r="AJ79" s="507"/>
      <c r="AK79" s="516"/>
      <c r="AL79" s="163"/>
      <c r="AM79" s="385"/>
      <c r="AN79" s="71"/>
      <c r="AO79" s="67"/>
      <c r="AP79" s="69"/>
      <c r="AQ79" s="67"/>
      <c r="AR79" s="67"/>
      <c r="AS79" s="67"/>
      <c r="AT79" s="70"/>
      <c r="AU79" s="76"/>
      <c r="AV79" s="77"/>
      <c r="AW79" s="616"/>
      <c r="AX79" s="73"/>
      <c r="AY79" s="595"/>
      <c r="AZ79" s="603"/>
      <c r="BA79" s="604"/>
      <c r="BB79" s="66"/>
      <c r="BC79" s="78"/>
      <c r="BD79" s="11"/>
      <c r="BE79" s="518"/>
      <c r="BF79" s="519"/>
      <c r="BG79" s="520"/>
      <c r="BH79" s="521"/>
      <c r="BI79" s="522"/>
      <c r="BJ79" s="523"/>
      <c r="BK79" s="524"/>
      <c r="BL79" s="525"/>
      <c r="BM79" s="526"/>
      <c r="BN79" s="527"/>
      <c r="BO79" s="528"/>
      <c r="BP79" s="529"/>
      <c r="BQ79" s="529"/>
      <c r="BR79" s="530"/>
      <c r="BS79" s="531"/>
      <c r="BT79" s="528"/>
      <c r="BU79" s="531"/>
      <c r="BV79" s="528"/>
      <c r="BW79" s="532"/>
      <c r="BX79" s="526"/>
      <c r="BY79" s="533"/>
      <c r="BZ79" s="534"/>
      <c r="CA79" s="535"/>
      <c r="CB79" s="536"/>
      <c r="CC79" s="537"/>
      <c r="CD79" s="538"/>
      <c r="CE79" s="539"/>
      <c r="CF79" s="537"/>
      <c r="CG79" s="534"/>
      <c r="CH79" s="540"/>
      <c r="CI79" s="96"/>
      <c r="CJ79" s="166"/>
      <c r="CK79" s="166"/>
      <c r="CL79" s="182"/>
      <c r="CM79" s="372"/>
      <c r="CN79" s="373"/>
      <c r="CO79" s="373"/>
      <c r="CP79" s="373"/>
      <c r="CQ79" s="373"/>
      <c r="CR79" s="392"/>
      <c r="CS79" s="373"/>
      <c r="CT79" s="472"/>
      <c r="CU79" s="473"/>
      <c r="CV79" s="373"/>
      <c r="CW79" s="374"/>
      <c r="CX79" s="373"/>
      <c r="CY79" s="373"/>
      <c r="CZ79" s="375"/>
      <c r="DA79" s="373"/>
      <c r="DB79" s="409"/>
      <c r="DC79" s="409"/>
      <c r="DD79" s="409"/>
      <c r="DE79" s="373"/>
      <c r="DF79" s="373"/>
      <c r="DG79" s="373"/>
      <c r="DH79" s="373"/>
      <c r="DI79" s="376"/>
      <c r="DJ79" s="11"/>
      <c r="DK79" s="372"/>
      <c r="DL79" s="374"/>
      <c r="DM79" s="375"/>
      <c r="DN79" s="374"/>
      <c r="DO79" s="375"/>
      <c r="DP79" s="373"/>
      <c r="DQ79" s="376"/>
    </row>
  </sheetData>
  <sheetProtection/>
  <mergeCells count="105">
    <mergeCell ref="BH24:BI24"/>
    <mergeCell ref="N22:Q22"/>
    <mergeCell ref="AU22:AY22"/>
    <mergeCell ref="AZ22:AZ25"/>
    <mergeCell ref="BA22:BA25"/>
    <mergeCell ref="BK22:BN22"/>
    <mergeCell ref="BO22:BS22"/>
    <mergeCell ref="Q23:Q25"/>
    <mergeCell ref="BE23:BG23"/>
    <mergeCell ref="BH23:BI23"/>
    <mergeCell ref="BJ23:BJ25"/>
    <mergeCell ref="BE24:BG24"/>
    <mergeCell ref="B23:D23"/>
    <mergeCell ref="E23:F23"/>
    <mergeCell ref="H23:M23"/>
    <mergeCell ref="N23:N25"/>
    <mergeCell ref="O23:O25"/>
    <mergeCell ref="P23:P25"/>
    <mergeCell ref="B24:D24"/>
    <mergeCell ref="E24:F24"/>
    <mergeCell ref="CH24:CI24"/>
    <mergeCell ref="AD26:AD27"/>
    <mergeCell ref="AL26:AM26"/>
    <mergeCell ref="Z27:AA27"/>
    <mergeCell ref="AL27:AM27"/>
    <mergeCell ref="Z24:AA24"/>
    <mergeCell ref="AL24:AM24"/>
    <mergeCell ref="AN24:AN25"/>
    <mergeCell ref="AW24:AW25"/>
    <mergeCell ref="BB24:BC24"/>
    <mergeCell ref="E28:F28"/>
    <mergeCell ref="BH28:BI28"/>
    <mergeCell ref="BE29:BI29"/>
    <mergeCell ref="B32:D32"/>
    <mergeCell ref="E32:F32"/>
    <mergeCell ref="BE32:BG32"/>
    <mergeCell ref="BH32:BI32"/>
    <mergeCell ref="E33:F33"/>
    <mergeCell ref="BH33:BI33"/>
    <mergeCell ref="B36:D36"/>
    <mergeCell ref="E36:F36"/>
    <mergeCell ref="BE36:BG36"/>
    <mergeCell ref="BH36:BI36"/>
    <mergeCell ref="E37:F37"/>
    <mergeCell ref="BH37:BI37"/>
    <mergeCell ref="B40:D40"/>
    <mergeCell ref="E40:F40"/>
    <mergeCell ref="BE40:BG40"/>
    <mergeCell ref="BH40:BI40"/>
    <mergeCell ref="E41:F41"/>
    <mergeCell ref="BH41:BI41"/>
    <mergeCell ref="B44:D44"/>
    <mergeCell ref="E44:F44"/>
    <mergeCell ref="BE44:BG44"/>
    <mergeCell ref="BH44:BI44"/>
    <mergeCell ref="E45:F45"/>
    <mergeCell ref="BH45:BI45"/>
    <mergeCell ref="B48:D48"/>
    <mergeCell ref="E48:F48"/>
    <mergeCell ref="BE48:BG48"/>
    <mergeCell ref="BH48:BI48"/>
    <mergeCell ref="E49:F49"/>
    <mergeCell ref="BH49:BI49"/>
    <mergeCell ref="B52:D52"/>
    <mergeCell ref="E52:F52"/>
    <mergeCell ref="BE52:BG52"/>
    <mergeCell ref="BH52:BI52"/>
    <mergeCell ref="E53:F53"/>
    <mergeCell ref="BH53:BI53"/>
    <mergeCell ref="B56:D56"/>
    <mergeCell ref="E56:F56"/>
    <mergeCell ref="BE56:BG56"/>
    <mergeCell ref="BH56:BI56"/>
    <mergeCell ref="E57:F57"/>
    <mergeCell ref="BH57:BI57"/>
    <mergeCell ref="B60:D60"/>
    <mergeCell ref="E60:F60"/>
    <mergeCell ref="BE60:BG60"/>
    <mergeCell ref="BH60:BI60"/>
    <mergeCell ref="E61:F61"/>
    <mergeCell ref="BH61:BI61"/>
    <mergeCell ref="B64:D64"/>
    <mergeCell ref="E64:F64"/>
    <mergeCell ref="BE64:BG64"/>
    <mergeCell ref="BH64:BI64"/>
    <mergeCell ref="E65:F65"/>
    <mergeCell ref="BH65:BI65"/>
    <mergeCell ref="B68:D68"/>
    <mergeCell ref="E68:F68"/>
    <mergeCell ref="BE68:BG68"/>
    <mergeCell ref="BH68:BI68"/>
    <mergeCell ref="E69:F69"/>
    <mergeCell ref="BH69:BI69"/>
    <mergeCell ref="B72:D72"/>
    <mergeCell ref="E72:F72"/>
    <mergeCell ref="BE72:BG72"/>
    <mergeCell ref="BH72:BI72"/>
    <mergeCell ref="E77:F77"/>
    <mergeCell ref="BH77:BI77"/>
    <mergeCell ref="E73:F73"/>
    <mergeCell ref="BH73:BI73"/>
    <mergeCell ref="B76:D76"/>
    <mergeCell ref="E76:F76"/>
    <mergeCell ref="BE76:BG76"/>
    <mergeCell ref="BH76:BI76"/>
  </mergeCells>
  <conditionalFormatting sqref="P29 P33">
    <cfRule type="cellIs" priority="34" dxfId="12" operator="notEqual" stopIfTrue="1">
      <formula>OR($F$16,"")</formula>
    </cfRule>
  </conditionalFormatting>
  <conditionalFormatting sqref="P37 P41 P45 P49 P53 P57 P61 P65 P69 P73">
    <cfRule type="cellIs" priority="35" dxfId="12" operator="notEqual" stopIfTrue="1">
      <formula>OR($F$16,"")</formula>
    </cfRule>
  </conditionalFormatting>
  <conditionalFormatting sqref="P77">
    <cfRule type="cellIs" priority="36" dxfId="12" operator="notEqual" stopIfTrue="1">
      <formula>OR($F$16,"")</formula>
    </cfRule>
  </conditionalFormatting>
  <conditionalFormatting sqref="CW40:CW41 CW44:CW45 CW48:CW49 CW52:CW53 CW56:CW57 CW60:CW61 CW64:CW65 CW68:CW69 CW72:CW73 CY40:CY41 CY44:CY45 CY48:CY49 CY52:CY53 CY56:CY57 CY60:CY61 CY64:CY65 CY68:CY69 CY72:CY73 AE40:AE41 AE44:AE45 AE48:AE49 AE52:AE53 AE56:AE57 AE60:AE61 AE64:AE65 AE68:AE69 AE72:AE73 CY28:CY29 CY32:CY33 CW32:CW33 CW28:CW29 AE28:AE29 AE32:AE33 CW36:CW37 CY36:CY37 AE36:AE37 CW76:CW77 CY76:CY77 AE76:AE77">
    <cfRule type="expression" priority="25" dxfId="1" stopIfTrue="1">
      <formula>AC28=""</formula>
    </cfRule>
    <cfRule type="cellIs" priority="26" dxfId="0" operator="notEqual">
      <formula>$AX$9</formula>
    </cfRule>
  </conditionalFormatting>
  <conditionalFormatting sqref="CV33 CV77">
    <cfRule type="cellIs" priority="27" dxfId="6" operator="equal" stopIfTrue="1">
      <formula>$AX$9</formula>
    </cfRule>
  </conditionalFormatting>
  <conditionalFormatting sqref="W41 W45 W49 W53 W57 W61 W65 W69 W73 W33 W29 W37 W77">
    <cfRule type="expression" priority="28" dxfId="1" stopIfTrue="1">
      <formula>U29=""</formula>
    </cfRule>
    <cfRule type="cellIs" priority="29" dxfId="0" operator="notEqual">
      <formula>$AX$8</formula>
    </cfRule>
  </conditionalFormatting>
  <conditionalFormatting sqref="AF40:AF41 AF44:AF45 AF48:AF49 AF52:AF53 AF56:AF57 AF60:AF61 AF64:AF65 AF68:AF69 AF72:AF73 AF32:AF33 AF28:AF29 AF36:AF37 AF76:AF77">
    <cfRule type="expression" priority="30" dxfId="1" stopIfTrue="1">
      <formula>AC28=""</formula>
    </cfRule>
    <cfRule type="cellIs" priority="31" dxfId="0" operator="notEqual">
      <formula>$AX$9</formula>
    </cfRule>
  </conditionalFormatting>
  <conditionalFormatting sqref="S41 S45 S49 S53 S57 S61 S65 S69 S73 S33 S29 S37 S77">
    <cfRule type="expression" priority="32" dxfId="1" stopIfTrue="1">
      <formula>R29=""</formula>
    </cfRule>
    <cfRule type="cellIs" priority="33" dxfId="0" operator="notEqual">
      <formula>$AX$7</formula>
    </cfRule>
  </conditionalFormatting>
  <dataValidations count="4">
    <dataValidation type="list" allowBlank="1" showInputMessage="1" showErrorMessage="1" sqref="F20">
      <formula1>$CT$13:$CT$14</formula1>
    </dataValidation>
    <dataValidation type="list" allowBlank="1" showInputMessage="1" showErrorMessage="1" sqref="Z60:Z61 Z56:Z57 Z28:Z29 Z32:Z33 Z52:Z53 Z48:Z49 Z72:Z73 Z44:Z45 Z40:Z41 Z36:Z37 Z76:Z77 Z68:Z69 Z64:Z65">
      <formula1>$CT$10:$CT$11</formula1>
    </dataValidation>
    <dataValidation type="list" allowBlank="1" showInputMessage="1" showErrorMessage="1" sqref="AD60:AD61 AD56:AD57 AD28:AD29 AD32:AD33 AD52:AD53 AD72:AD73 AD48:AD49 AD44:AD45 AD40:AD41 AD36:AD37 AD76:AD77 AD68:AD69 AD64:AD65">
      <formula1>$CT$16:$CT$17</formula1>
    </dataValidation>
    <dataValidation type="list" allowBlank="1" showInputMessage="1" showErrorMessage="1" sqref="AO65 AO69 AO77 AO37 AO41 AO45 AO73 AO49 AO53 AO57 AO29 AO33 AO61">
      <formula1>$AO$7:$AO$12</formula1>
    </dataValidation>
  </dataValidations>
  <printOptions horizontalCentered="1" verticalCentered="1"/>
  <pageMargins left="0.984251968503937" right="0.1968503937007874" top="0.7086614173228347" bottom="0.5905511811023623" header="0.5118110236220472" footer="0.15748031496062992"/>
  <pageSetup blackAndWhite="1" horizontalDpi="600" verticalDpi="600" orientation="portrait" paperSize="9" scale="72" r:id="rId4"/>
  <colBreaks count="1" manualBreakCount="1">
    <brk id="55" max="6553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K26"/>
  <sheetViews>
    <sheetView showZeros="0" view="pageBreakPreview" zoomScale="50" zoomScaleNormal="50" zoomScaleSheetLayoutView="50" zoomScalePageLayoutView="0" workbookViewId="0" topLeftCell="A1">
      <selection activeCell="A2" sqref="A2"/>
    </sheetView>
  </sheetViews>
  <sheetFormatPr defaultColWidth="9.00390625" defaultRowHeight="13.5" outlineLevelCol="3"/>
  <cols>
    <col min="1" max="1" width="11.25390625" style="813" customWidth="1"/>
    <col min="2" max="2" width="35.50390625" style="813" customWidth="1"/>
    <col min="3" max="3" width="23.125" style="837" customWidth="1"/>
    <col min="4" max="4" width="6.00390625" style="813" customWidth="1"/>
    <col min="5" max="6" width="20.125" style="838" customWidth="1"/>
    <col min="7" max="7" width="20.125" style="813" customWidth="1"/>
    <col min="8" max="8" width="11.00390625" style="813" hidden="1" customWidth="1"/>
    <col min="9" max="9" width="0.2421875" style="813" hidden="1" customWidth="1"/>
    <col min="10" max="10" width="8.625" style="813" hidden="1" customWidth="1"/>
    <col min="11" max="11" width="7.375" style="813" hidden="1" customWidth="1"/>
    <col min="12" max="12" width="17.50390625" style="813" hidden="1" customWidth="1"/>
    <col min="13" max="13" width="35.625" style="813" customWidth="1"/>
    <col min="14" max="14" width="12.00390625" style="813" hidden="1" customWidth="1"/>
    <col min="15" max="15" width="8.50390625" style="813" hidden="1" customWidth="1"/>
    <col min="16" max="16" width="9.50390625" style="813" hidden="1" customWidth="1"/>
    <col min="17" max="17" width="10.00390625" style="813" hidden="1" customWidth="1"/>
    <col min="18" max="18" width="14.25390625" style="813" hidden="1" customWidth="1"/>
    <col min="19" max="19" width="19.625" style="853" customWidth="1"/>
    <col min="20" max="20" width="10.625" style="813" hidden="1" customWidth="1"/>
    <col min="21" max="23" width="8.625" style="813" customWidth="1"/>
    <col min="24" max="24" width="9.00390625" style="813" customWidth="1"/>
    <col min="25" max="25" width="11.00390625" style="813" hidden="1" customWidth="1" outlineLevel="3"/>
    <col min="26" max="26" width="12.875" style="813" hidden="1" customWidth="1" outlineLevel="3"/>
    <col min="27" max="27" width="8.375" style="813" hidden="1" customWidth="1" outlineLevel="3"/>
    <col min="28" max="28" width="7.875" style="813" hidden="1" customWidth="1" outlineLevel="3"/>
    <col min="29" max="29" width="9.375" style="813" hidden="1" customWidth="1" outlineLevel="3"/>
    <col min="30" max="30" width="13.375" style="813" hidden="1" customWidth="1" outlineLevel="3"/>
    <col min="31" max="31" width="14.375" style="813" hidden="1" customWidth="1" outlineLevel="3"/>
    <col min="32" max="38" width="9.00390625" style="813" hidden="1" customWidth="1" outlineLevel="3"/>
    <col min="39" max="39" width="9.00390625" style="813" customWidth="1" collapsed="1"/>
    <col min="40" max="16384" width="9.00390625" style="813" customWidth="1"/>
  </cols>
  <sheetData>
    <row r="1" spans="1:23" s="773" customFormat="1" ht="30" customHeight="1">
      <c r="A1" s="947" t="s">
        <v>267</v>
      </c>
      <c r="B1" s="947"/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  <c r="O1" s="947"/>
      <c r="P1" s="947"/>
      <c r="Q1" s="947"/>
      <c r="R1" s="947"/>
      <c r="S1" s="947"/>
      <c r="T1" s="947"/>
      <c r="U1" s="947"/>
      <c r="V1" s="947"/>
      <c r="W1" s="947"/>
    </row>
    <row r="2" spans="1:23" s="773" customFormat="1" ht="30" customHeight="1">
      <c r="A2" s="774"/>
      <c r="B2" s="774"/>
      <c r="C2" s="948" t="s">
        <v>268</v>
      </c>
      <c r="D2" s="948"/>
      <c r="E2" s="948"/>
      <c r="F2" s="948"/>
      <c r="G2" s="948"/>
      <c r="H2" s="948"/>
      <c r="I2" s="948"/>
      <c r="J2" s="948"/>
      <c r="K2" s="948"/>
      <c r="L2" s="948"/>
      <c r="M2" s="948"/>
      <c r="N2" s="774"/>
      <c r="O2" s="774"/>
      <c r="P2" s="774"/>
      <c r="Q2" s="774"/>
      <c r="R2" s="774"/>
      <c r="S2" s="774"/>
      <c r="T2" s="774"/>
      <c r="U2" s="774"/>
      <c r="V2" s="774"/>
      <c r="W2" s="774"/>
    </row>
    <row r="3" spans="1:19" s="773" customFormat="1" ht="21" customHeight="1">
      <c r="A3" s="775" t="s">
        <v>222</v>
      </c>
      <c r="B3" s="949" t="s">
        <v>269</v>
      </c>
      <c r="C3" s="949"/>
      <c r="S3" s="776"/>
    </row>
    <row r="4" spans="1:19" s="773" customFormat="1" ht="21" customHeight="1">
      <c r="A4" s="775" t="s">
        <v>106</v>
      </c>
      <c r="B4" s="950" t="s">
        <v>270</v>
      </c>
      <c r="C4" s="950"/>
      <c r="E4" s="777"/>
      <c r="F4" s="777"/>
      <c r="S4" s="776"/>
    </row>
    <row r="5" spans="1:31" s="773" customFormat="1" ht="21" customHeight="1">
      <c r="A5" s="951" t="s">
        <v>223</v>
      </c>
      <c r="B5" s="953" t="s">
        <v>224</v>
      </c>
      <c r="C5" s="778" t="s">
        <v>271</v>
      </c>
      <c r="D5" s="779" t="s">
        <v>272</v>
      </c>
      <c r="E5" s="780" t="s">
        <v>273</v>
      </c>
      <c r="F5" s="780" t="s">
        <v>274</v>
      </c>
      <c r="G5" s="779" t="s">
        <v>275</v>
      </c>
      <c r="H5" s="779"/>
      <c r="I5" s="779"/>
      <c r="J5" s="779"/>
      <c r="K5" s="779"/>
      <c r="L5" s="779"/>
      <c r="M5" s="779" t="s">
        <v>276</v>
      </c>
      <c r="N5" s="779"/>
      <c r="O5" s="779"/>
      <c r="P5" s="779"/>
      <c r="Q5" s="779"/>
      <c r="R5" s="779"/>
      <c r="S5" s="955" t="s">
        <v>277</v>
      </c>
      <c r="T5" s="956"/>
      <c r="U5" s="957" t="s">
        <v>238</v>
      </c>
      <c r="V5" s="958"/>
      <c r="W5" s="959"/>
      <c r="X5" s="645"/>
      <c r="AC5" s="781"/>
      <c r="AD5" s="781"/>
      <c r="AE5" s="781"/>
    </row>
    <row r="6" spans="1:31" s="773" customFormat="1" ht="21" customHeight="1">
      <c r="A6" s="952"/>
      <c r="B6" s="954"/>
      <c r="C6" s="782" t="s">
        <v>278</v>
      </c>
      <c r="D6" s="783" t="s">
        <v>279</v>
      </c>
      <c r="E6" s="784" t="s">
        <v>280</v>
      </c>
      <c r="F6" s="784" t="s">
        <v>281</v>
      </c>
      <c r="G6" s="785" t="s">
        <v>282</v>
      </c>
      <c r="H6" s="783"/>
      <c r="I6" s="783"/>
      <c r="J6" s="783"/>
      <c r="K6" s="783"/>
      <c r="L6" s="783"/>
      <c r="M6" s="783" t="s">
        <v>283</v>
      </c>
      <c r="N6" s="783"/>
      <c r="O6" s="783"/>
      <c r="P6" s="783"/>
      <c r="Q6" s="783"/>
      <c r="R6" s="783"/>
      <c r="S6" s="963" t="s">
        <v>284</v>
      </c>
      <c r="T6" s="964"/>
      <c r="U6" s="960"/>
      <c r="V6" s="961"/>
      <c r="W6" s="962"/>
      <c r="Y6" s="773">
        <v>2</v>
      </c>
      <c r="Z6" s="773">
        <v>3</v>
      </c>
      <c r="AA6" s="773">
        <v>4</v>
      </c>
      <c r="AC6" s="781"/>
      <c r="AD6" s="781"/>
      <c r="AE6" s="781"/>
    </row>
    <row r="7" spans="1:37" s="773" customFormat="1" ht="51" customHeight="1">
      <c r="A7" s="786">
        <v>1</v>
      </c>
      <c r="B7" s="787" t="s">
        <v>285</v>
      </c>
      <c r="C7" s="788">
        <v>44</v>
      </c>
      <c r="D7" s="789">
        <v>2</v>
      </c>
      <c r="E7" s="790">
        <v>5.36</v>
      </c>
      <c r="F7" s="791">
        <v>5.4</v>
      </c>
      <c r="G7" s="792">
        <f>F7-E7</f>
        <v>0.040000000000000036</v>
      </c>
      <c r="H7" s="793"/>
      <c r="I7" s="793"/>
      <c r="J7" s="793"/>
      <c r="K7" s="793"/>
      <c r="L7" s="793"/>
      <c r="M7" s="794" t="str">
        <f>IF(D7=2,"ｈ＝２．０％＊Ｌ＋３０ｃｍ－⊿Ｈｃｍ",IF(D7=3,"ｈ＝１．０％＊Ｌ＋８０ｃｍ－⊿Ｈｃｍ",IF(D7=4,"ｈ＝１．2％＊Ｌ＋50ｃｍ－⊿Ｈｃｍ",IF(D7=1,"最浅８０ｃｍとする。","　"))))</f>
        <v>ｈ＝２．０％＊Ｌ＋３０ｃｍ－⊿Ｈｃｍ</v>
      </c>
      <c r="N7" s="795">
        <f>IF(D7=1,80,O7)</f>
        <v>114</v>
      </c>
      <c r="O7" s="795">
        <f aca="true" t="shared" si="0" ref="O7:O16">IF(D7=2,2*C7+30-G7*100,P7)</f>
        <v>114</v>
      </c>
      <c r="P7" s="795">
        <f aca="true" t="shared" si="1" ref="P7:P16">IF(D7=3,1*C7+80-G7*100,Q7)</f>
        <v>0</v>
      </c>
      <c r="Q7" s="795">
        <f aca="true" t="shared" si="2" ref="Q7:Q16">IF(D7=4,1.2*C7+50-G7*100,R7)</f>
        <v>0</v>
      </c>
      <c r="R7" s="795">
        <f aca="true" t="shared" si="3" ref="R7:R16">IF(D7=5,2*C7+30-G7*100,0)</f>
        <v>0</v>
      </c>
      <c r="S7" s="796">
        <f>IF(B7="","",AD7)</f>
        <v>1.14</v>
      </c>
      <c r="T7" s="797"/>
      <c r="U7" s="971" t="s">
        <v>286</v>
      </c>
      <c r="V7" s="972"/>
      <c r="W7" s="973"/>
      <c r="Y7" s="773">
        <f>C7*0.02+0.3-G7</f>
        <v>1.14</v>
      </c>
      <c r="Z7" s="773">
        <f aca="true" t="shared" si="4" ref="Z7:Z16">0.01*C7+0.8-G7</f>
        <v>1.2</v>
      </c>
      <c r="AA7" s="773">
        <f aca="true" t="shared" si="5" ref="AA7:AA16">C7*0.012+0.5-G7</f>
        <v>0.988</v>
      </c>
      <c r="AC7" s="781"/>
      <c r="AD7" s="798">
        <f>IF(D7=2,Y7,IF(D7=3,Z7,IF(D7=4,AA7,IF(D7=1,AE7))))</f>
        <v>1.14</v>
      </c>
      <c r="AE7" s="799">
        <v>0.8</v>
      </c>
      <c r="AG7" s="773">
        <v>0</v>
      </c>
      <c r="AH7" s="773">
        <v>1</v>
      </c>
      <c r="AI7" s="773">
        <v>2</v>
      </c>
      <c r="AJ7" s="773">
        <v>3</v>
      </c>
      <c r="AK7" s="773">
        <v>4</v>
      </c>
    </row>
    <row r="8" spans="1:37" s="773" customFormat="1" ht="51" customHeight="1">
      <c r="A8" s="786">
        <v>2</v>
      </c>
      <c r="B8" s="787" t="s">
        <v>287</v>
      </c>
      <c r="C8" s="788">
        <v>24</v>
      </c>
      <c r="D8" s="789">
        <v>1</v>
      </c>
      <c r="E8" s="800">
        <v>5.23</v>
      </c>
      <c r="F8" s="801">
        <v>5.32</v>
      </c>
      <c r="G8" s="792">
        <f>F8-E8</f>
        <v>0.08999999999999986</v>
      </c>
      <c r="H8" s="802"/>
      <c r="I8" s="802"/>
      <c r="J8" s="802"/>
      <c r="K8" s="802"/>
      <c r="L8" s="802"/>
      <c r="M8" s="794" t="str">
        <f aca="true" t="shared" si="6" ref="M8:M16">IF(D8=2,"ｈ＝２．０％＊Ｌ＋３０ｃｍ－⊿Ｈｃｍ",IF(D8=3,"ｈ＝１．０％＊Ｌ＋８０ｃｍ－⊿Ｈｃｍ",IF(D8=4,"ｈ＝１．2％＊Ｌ＋50ｃｍ－⊿Ｈｃｍ",IF(D8=1,"最浅８０ｃｍとする。","　"))))</f>
        <v>最浅８０ｃｍとする。</v>
      </c>
      <c r="N8" s="795">
        <f>IF(D8=1,80,O8)</f>
        <v>80</v>
      </c>
      <c r="O8" s="795">
        <f t="shared" si="0"/>
        <v>0</v>
      </c>
      <c r="P8" s="795">
        <f t="shared" si="1"/>
        <v>0</v>
      </c>
      <c r="Q8" s="795">
        <f t="shared" si="2"/>
        <v>0</v>
      </c>
      <c r="R8" s="795">
        <f t="shared" si="3"/>
        <v>0</v>
      </c>
      <c r="S8" s="803">
        <f aca="true" t="shared" si="7" ref="S8:S16">IF(B8="","",AD8)</f>
        <v>0.8</v>
      </c>
      <c r="T8" s="804"/>
      <c r="U8" s="965" t="s">
        <v>286</v>
      </c>
      <c r="V8" s="966"/>
      <c r="W8" s="967"/>
      <c r="Y8" s="773">
        <f aca="true" t="shared" si="8" ref="Y8:Y16">C8*0.02+0.3-G8</f>
        <v>0.6900000000000002</v>
      </c>
      <c r="Z8" s="773">
        <f t="shared" si="4"/>
        <v>0.9500000000000002</v>
      </c>
      <c r="AA8" s="773">
        <f t="shared" si="5"/>
        <v>0.6980000000000002</v>
      </c>
      <c r="AC8" s="781"/>
      <c r="AD8" s="798">
        <f aca="true" t="shared" si="9" ref="AD8:AD16">IF(D8=2,Y8,IF(D8=3,Z8,IF(D8=4,AA8,IF(D8=1,AE8))))</f>
        <v>0.8</v>
      </c>
      <c r="AE8" s="799">
        <v>0.8</v>
      </c>
      <c r="AG8" s="773">
        <v>0</v>
      </c>
      <c r="AH8" s="773">
        <v>1</v>
      </c>
      <c r="AI8" s="773">
        <v>2</v>
      </c>
      <c r="AJ8" s="773">
        <v>3</v>
      </c>
      <c r="AK8" s="773">
        <v>4</v>
      </c>
    </row>
    <row r="9" spans="1:37" s="773" customFormat="1" ht="51" customHeight="1">
      <c r="A9" s="786">
        <v>3</v>
      </c>
      <c r="B9" s="787" t="s">
        <v>288</v>
      </c>
      <c r="C9" s="788">
        <v>28</v>
      </c>
      <c r="D9" s="789">
        <v>2</v>
      </c>
      <c r="E9" s="800">
        <v>5.3</v>
      </c>
      <c r="F9" s="801">
        <v>5.33</v>
      </c>
      <c r="G9" s="792">
        <f aca="true" t="shared" si="10" ref="G9:G16">F9-E9</f>
        <v>0.03000000000000025</v>
      </c>
      <c r="H9" s="805"/>
      <c r="I9" s="805"/>
      <c r="J9" s="805"/>
      <c r="K9" s="805"/>
      <c r="L9" s="805"/>
      <c r="M9" s="794" t="str">
        <f t="shared" si="6"/>
        <v>ｈ＝２．０％＊Ｌ＋３０ｃｍ－⊿Ｈｃｍ</v>
      </c>
      <c r="N9" s="795">
        <f aca="true" t="shared" si="11" ref="N9:N16">IF(D9=1,80,O9)</f>
        <v>82.99999999999997</v>
      </c>
      <c r="O9" s="795">
        <f t="shared" si="0"/>
        <v>82.99999999999997</v>
      </c>
      <c r="P9" s="795">
        <f t="shared" si="1"/>
        <v>0</v>
      </c>
      <c r="Q9" s="795">
        <f t="shared" si="2"/>
        <v>0</v>
      </c>
      <c r="R9" s="795">
        <f t="shared" si="3"/>
        <v>0</v>
      </c>
      <c r="S9" s="803">
        <f t="shared" si="7"/>
        <v>0.8299999999999998</v>
      </c>
      <c r="T9" s="804"/>
      <c r="U9" s="965"/>
      <c r="V9" s="966"/>
      <c r="W9" s="967"/>
      <c r="Y9" s="773">
        <f t="shared" si="8"/>
        <v>0.8299999999999998</v>
      </c>
      <c r="Z9" s="773">
        <f t="shared" si="4"/>
        <v>1.0499999999999998</v>
      </c>
      <c r="AA9" s="773">
        <f t="shared" si="5"/>
        <v>0.8059999999999998</v>
      </c>
      <c r="AD9" s="798">
        <f t="shared" si="9"/>
        <v>0.8299999999999998</v>
      </c>
      <c r="AE9" s="799">
        <v>0.8</v>
      </c>
      <c r="AG9" s="773">
        <v>0</v>
      </c>
      <c r="AH9" s="773">
        <v>1</v>
      </c>
      <c r="AI9" s="773">
        <v>2</v>
      </c>
      <c r="AJ9" s="773">
        <v>3</v>
      </c>
      <c r="AK9" s="773">
        <v>4</v>
      </c>
    </row>
    <row r="10" spans="1:37" s="773" customFormat="1" ht="51" customHeight="1">
      <c r="A10" s="786">
        <v>4</v>
      </c>
      <c r="B10" s="787" t="s">
        <v>289</v>
      </c>
      <c r="C10" s="788">
        <v>60</v>
      </c>
      <c r="D10" s="789">
        <v>3</v>
      </c>
      <c r="E10" s="790">
        <v>5.3</v>
      </c>
      <c r="F10" s="791">
        <v>5.52</v>
      </c>
      <c r="G10" s="792">
        <f t="shared" si="10"/>
        <v>0.21999999999999975</v>
      </c>
      <c r="H10" s="795"/>
      <c r="I10" s="795"/>
      <c r="J10" s="795"/>
      <c r="K10" s="795"/>
      <c r="L10" s="795"/>
      <c r="M10" s="794" t="str">
        <f t="shared" si="6"/>
        <v>ｈ＝１．０％＊Ｌ＋８０ｃｍ－⊿Ｈｃｍ</v>
      </c>
      <c r="N10" s="795">
        <f t="shared" si="11"/>
        <v>118.00000000000003</v>
      </c>
      <c r="O10" s="795">
        <f t="shared" si="0"/>
        <v>118.00000000000003</v>
      </c>
      <c r="P10" s="795">
        <f t="shared" si="1"/>
        <v>118.00000000000003</v>
      </c>
      <c r="Q10" s="795">
        <f t="shared" si="2"/>
        <v>0</v>
      </c>
      <c r="R10" s="795">
        <f t="shared" si="3"/>
        <v>0</v>
      </c>
      <c r="S10" s="803">
        <f t="shared" si="7"/>
        <v>1.1800000000000002</v>
      </c>
      <c r="T10" s="804"/>
      <c r="U10" s="965" t="s">
        <v>286</v>
      </c>
      <c r="V10" s="966"/>
      <c r="W10" s="967"/>
      <c r="Y10" s="773">
        <f t="shared" si="8"/>
        <v>1.2800000000000002</v>
      </c>
      <c r="Z10" s="773">
        <f t="shared" si="4"/>
        <v>1.1800000000000002</v>
      </c>
      <c r="AA10" s="773">
        <f t="shared" si="5"/>
        <v>1.0000000000000002</v>
      </c>
      <c r="AD10" s="798">
        <f t="shared" si="9"/>
        <v>1.1800000000000002</v>
      </c>
      <c r="AE10" s="799">
        <v>0.8</v>
      </c>
      <c r="AG10" s="773">
        <v>0</v>
      </c>
      <c r="AH10" s="773">
        <v>1</v>
      </c>
      <c r="AI10" s="773">
        <v>2</v>
      </c>
      <c r="AJ10" s="773">
        <v>3</v>
      </c>
      <c r="AK10" s="773">
        <v>4</v>
      </c>
    </row>
    <row r="11" spans="1:37" s="773" customFormat="1" ht="51" customHeight="1">
      <c r="A11" s="786">
        <v>5</v>
      </c>
      <c r="B11" s="787" t="s">
        <v>290</v>
      </c>
      <c r="C11" s="788">
        <v>37</v>
      </c>
      <c r="D11" s="789">
        <v>2</v>
      </c>
      <c r="E11" s="790">
        <v>5.71</v>
      </c>
      <c r="F11" s="791">
        <v>5.73</v>
      </c>
      <c r="G11" s="792">
        <f t="shared" si="10"/>
        <v>0.020000000000000462</v>
      </c>
      <c r="H11" s="795"/>
      <c r="I11" s="795"/>
      <c r="J11" s="795"/>
      <c r="K11" s="795"/>
      <c r="L11" s="795"/>
      <c r="M11" s="794" t="str">
        <f t="shared" si="6"/>
        <v>ｈ＝２．０％＊Ｌ＋３０ｃｍ－⊿Ｈｃｍ</v>
      </c>
      <c r="N11" s="795">
        <f t="shared" si="11"/>
        <v>101.99999999999996</v>
      </c>
      <c r="O11" s="795">
        <f t="shared" si="0"/>
        <v>101.99999999999996</v>
      </c>
      <c r="P11" s="795">
        <f t="shared" si="1"/>
        <v>0</v>
      </c>
      <c r="Q11" s="795">
        <f t="shared" si="2"/>
        <v>0</v>
      </c>
      <c r="R11" s="795">
        <f t="shared" si="3"/>
        <v>0</v>
      </c>
      <c r="S11" s="803">
        <f t="shared" si="7"/>
        <v>1.0199999999999996</v>
      </c>
      <c r="T11" s="804"/>
      <c r="U11" s="965"/>
      <c r="V11" s="966"/>
      <c r="W11" s="967"/>
      <c r="Y11" s="773">
        <f t="shared" si="8"/>
        <v>1.0199999999999996</v>
      </c>
      <c r="Z11" s="773">
        <f t="shared" si="4"/>
        <v>1.1499999999999995</v>
      </c>
      <c r="AA11" s="773">
        <f t="shared" si="5"/>
        <v>0.9239999999999995</v>
      </c>
      <c r="AD11" s="798">
        <f t="shared" si="9"/>
        <v>1.0199999999999996</v>
      </c>
      <c r="AE11" s="799">
        <v>0.8</v>
      </c>
      <c r="AG11" s="773">
        <v>0</v>
      </c>
      <c r="AH11" s="773">
        <v>1</v>
      </c>
      <c r="AI11" s="773">
        <v>2</v>
      </c>
      <c r="AJ11" s="773">
        <v>3</v>
      </c>
      <c r="AK11" s="773">
        <v>4</v>
      </c>
    </row>
    <row r="12" spans="1:37" s="773" customFormat="1" ht="51" customHeight="1">
      <c r="A12" s="786">
        <v>6</v>
      </c>
      <c r="B12" s="787" t="s">
        <v>291</v>
      </c>
      <c r="C12" s="806">
        <v>51</v>
      </c>
      <c r="D12" s="789">
        <v>3</v>
      </c>
      <c r="E12" s="800">
        <v>5.27</v>
      </c>
      <c r="F12" s="801">
        <v>5.57</v>
      </c>
      <c r="G12" s="792">
        <f t="shared" si="10"/>
        <v>0.3000000000000007</v>
      </c>
      <c r="H12" s="807"/>
      <c r="I12" s="807"/>
      <c r="J12" s="807"/>
      <c r="K12" s="807"/>
      <c r="L12" s="807"/>
      <c r="M12" s="794" t="str">
        <f t="shared" si="6"/>
        <v>ｈ＝１．０％＊Ｌ＋８０ｃｍ－⊿Ｈｃｍ</v>
      </c>
      <c r="N12" s="807">
        <f t="shared" si="11"/>
        <v>100.99999999999993</v>
      </c>
      <c r="O12" s="807">
        <f t="shared" si="0"/>
        <v>100.99999999999993</v>
      </c>
      <c r="P12" s="807">
        <f t="shared" si="1"/>
        <v>100.99999999999993</v>
      </c>
      <c r="Q12" s="807">
        <f t="shared" si="2"/>
        <v>0</v>
      </c>
      <c r="R12" s="807">
        <f t="shared" si="3"/>
        <v>0</v>
      </c>
      <c r="S12" s="803">
        <f t="shared" si="7"/>
        <v>1.0099999999999993</v>
      </c>
      <c r="T12" s="804"/>
      <c r="U12" s="965"/>
      <c r="V12" s="966"/>
      <c r="W12" s="967"/>
      <c r="Y12" s="773">
        <f t="shared" si="8"/>
        <v>1.0199999999999994</v>
      </c>
      <c r="Z12" s="773">
        <f t="shared" si="4"/>
        <v>1.0099999999999993</v>
      </c>
      <c r="AA12" s="773">
        <f t="shared" si="5"/>
        <v>0.8119999999999994</v>
      </c>
      <c r="AD12" s="798">
        <f>IF(D12=2,Y12,IF(D12=3,Z12,IF(D12=4,AA12,IF(D12=1,AE12))))</f>
        <v>1.0099999999999993</v>
      </c>
      <c r="AE12" s="799">
        <v>0.8</v>
      </c>
      <c r="AG12" s="773">
        <v>0</v>
      </c>
      <c r="AH12" s="773">
        <v>1</v>
      </c>
      <c r="AI12" s="773">
        <v>2</v>
      </c>
      <c r="AJ12" s="773">
        <v>3</v>
      </c>
      <c r="AK12" s="773">
        <v>4</v>
      </c>
    </row>
    <row r="13" spans="1:37" s="773" customFormat="1" ht="51" customHeight="1">
      <c r="A13" s="786">
        <v>7</v>
      </c>
      <c r="B13" s="787" t="s">
        <v>292</v>
      </c>
      <c r="C13" s="806">
        <v>51</v>
      </c>
      <c r="D13" s="789">
        <v>3</v>
      </c>
      <c r="E13" s="800">
        <v>5.63</v>
      </c>
      <c r="F13" s="801">
        <v>5.61</v>
      </c>
      <c r="G13" s="792">
        <f t="shared" si="10"/>
        <v>-0.019999999999999574</v>
      </c>
      <c r="H13" s="807"/>
      <c r="I13" s="807"/>
      <c r="J13" s="807"/>
      <c r="K13" s="807"/>
      <c r="L13" s="807"/>
      <c r="M13" s="794" t="str">
        <f t="shared" si="6"/>
        <v>ｈ＝１．０％＊Ｌ＋８０ｃｍ－⊿Ｈｃｍ</v>
      </c>
      <c r="N13" s="807">
        <f t="shared" si="11"/>
        <v>132.99999999999994</v>
      </c>
      <c r="O13" s="807">
        <f t="shared" si="0"/>
        <v>132.99999999999994</v>
      </c>
      <c r="P13" s="807">
        <f t="shared" si="1"/>
        <v>132.99999999999994</v>
      </c>
      <c r="Q13" s="807">
        <f t="shared" si="2"/>
        <v>0</v>
      </c>
      <c r="R13" s="807">
        <f t="shared" si="3"/>
        <v>0</v>
      </c>
      <c r="S13" s="803">
        <f t="shared" si="7"/>
        <v>1.3299999999999996</v>
      </c>
      <c r="T13" s="804"/>
      <c r="U13" s="965" t="s">
        <v>293</v>
      </c>
      <c r="V13" s="966"/>
      <c r="W13" s="967"/>
      <c r="Y13" s="773">
        <f t="shared" si="8"/>
        <v>1.3399999999999996</v>
      </c>
      <c r="Z13" s="773">
        <f t="shared" si="4"/>
        <v>1.3299999999999996</v>
      </c>
      <c r="AA13" s="773">
        <f t="shared" si="5"/>
        <v>1.1319999999999997</v>
      </c>
      <c r="AD13" s="798">
        <f t="shared" si="9"/>
        <v>1.3299999999999996</v>
      </c>
      <c r="AE13" s="799">
        <v>0.8</v>
      </c>
      <c r="AG13" s="773">
        <v>0</v>
      </c>
      <c r="AH13" s="773">
        <v>1</v>
      </c>
      <c r="AI13" s="773">
        <v>2</v>
      </c>
      <c r="AJ13" s="773">
        <v>3</v>
      </c>
      <c r="AK13" s="773">
        <v>4</v>
      </c>
    </row>
    <row r="14" spans="1:37" s="773" customFormat="1" ht="51" customHeight="1">
      <c r="A14" s="786">
        <v>8</v>
      </c>
      <c r="B14" s="787" t="s">
        <v>294</v>
      </c>
      <c r="C14" s="788">
        <v>68</v>
      </c>
      <c r="D14" s="789">
        <v>3</v>
      </c>
      <c r="E14" s="800">
        <v>5.32</v>
      </c>
      <c r="F14" s="801">
        <v>5.55</v>
      </c>
      <c r="G14" s="792">
        <f t="shared" si="10"/>
        <v>0.22999999999999954</v>
      </c>
      <c r="H14" s="808"/>
      <c r="I14" s="808"/>
      <c r="J14" s="808"/>
      <c r="K14" s="808"/>
      <c r="L14" s="808"/>
      <c r="M14" s="794" t="str">
        <f t="shared" si="6"/>
        <v>ｈ＝１．０％＊Ｌ＋８０ｃｍ－⊿Ｈｃｍ</v>
      </c>
      <c r="N14" s="809">
        <f t="shared" si="11"/>
        <v>125.00000000000004</v>
      </c>
      <c r="O14" s="809">
        <f t="shared" si="0"/>
        <v>125.00000000000004</v>
      </c>
      <c r="P14" s="809">
        <f t="shared" si="1"/>
        <v>125.00000000000004</v>
      </c>
      <c r="Q14" s="809">
        <f t="shared" si="2"/>
        <v>0</v>
      </c>
      <c r="R14" s="809">
        <f t="shared" si="3"/>
        <v>0</v>
      </c>
      <c r="S14" s="803">
        <f t="shared" si="7"/>
        <v>1.2500000000000004</v>
      </c>
      <c r="T14" s="804"/>
      <c r="U14" s="965" t="s">
        <v>286</v>
      </c>
      <c r="V14" s="966"/>
      <c r="W14" s="967"/>
      <c r="Y14" s="773">
        <f t="shared" si="8"/>
        <v>1.4300000000000006</v>
      </c>
      <c r="Z14" s="773">
        <f t="shared" si="4"/>
        <v>1.2500000000000004</v>
      </c>
      <c r="AA14" s="773">
        <f t="shared" si="5"/>
        <v>1.0860000000000005</v>
      </c>
      <c r="AD14" s="798">
        <f t="shared" si="9"/>
        <v>1.2500000000000004</v>
      </c>
      <c r="AE14" s="799">
        <v>0.8</v>
      </c>
      <c r="AG14" s="773">
        <v>0</v>
      </c>
      <c r="AH14" s="773">
        <v>1</v>
      </c>
      <c r="AI14" s="773">
        <v>2</v>
      </c>
      <c r="AJ14" s="773">
        <v>3</v>
      </c>
      <c r="AK14" s="773">
        <v>4</v>
      </c>
    </row>
    <row r="15" spans="1:37" s="773" customFormat="1" ht="51" customHeight="1">
      <c r="A15" s="786">
        <v>9</v>
      </c>
      <c r="B15" s="787" t="s">
        <v>295</v>
      </c>
      <c r="C15" s="810">
        <v>75</v>
      </c>
      <c r="D15" s="789">
        <v>3</v>
      </c>
      <c r="E15" s="801">
        <v>5.48</v>
      </c>
      <c r="F15" s="801">
        <v>5.51</v>
      </c>
      <c r="G15" s="792">
        <f t="shared" si="10"/>
        <v>0.02999999999999936</v>
      </c>
      <c r="H15" s="809"/>
      <c r="I15" s="809"/>
      <c r="J15" s="809"/>
      <c r="K15" s="809"/>
      <c r="L15" s="809"/>
      <c r="M15" s="794" t="str">
        <f t="shared" si="6"/>
        <v>ｈ＝１．０％＊Ｌ＋８０ｃｍ－⊿Ｈｃｍ</v>
      </c>
      <c r="N15" s="811">
        <f t="shared" si="11"/>
        <v>152.00000000000006</v>
      </c>
      <c r="O15" s="811">
        <f t="shared" si="0"/>
        <v>152.00000000000006</v>
      </c>
      <c r="P15" s="811">
        <f t="shared" si="1"/>
        <v>152.00000000000006</v>
      </c>
      <c r="Q15" s="811">
        <f t="shared" si="2"/>
        <v>0</v>
      </c>
      <c r="R15" s="811">
        <f t="shared" si="3"/>
        <v>0</v>
      </c>
      <c r="S15" s="803">
        <f t="shared" si="7"/>
        <v>1.5200000000000007</v>
      </c>
      <c r="T15" s="812"/>
      <c r="U15" s="965"/>
      <c r="V15" s="966"/>
      <c r="W15" s="967"/>
      <c r="X15" s="813"/>
      <c r="Y15" s="773">
        <f t="shared" si="8"/>
        <v>1.7700000000000007</v>
      </c>
      <c r="Z15" s="773">
        <f t="shared" si="4"/>
        <v>1.5200000000000007</v>
      </c>
      <c r="AA15" s="773">
        <f t="shared" si="5"/>
        <v>1.3700000000000006</v>
      </c>
      <c r="AD15" s="798">
        <f t="shared" si="9"/>
        <v>1.5200000000000007</v>
      </c>
      <c r="AE15" s="799">
        <v>0.8</v>
      </c>
      <c r="AG15" s="773">
        <v>0</v>
      </c>
      <c r="AH15" s="773">
        <v>1</v>
      </c>
      <c r="AI15" s="773">
        <v>2</v>
      </c>
      <c r="AJ15" s="773">
        <v>3</v>
      </c>
      <c r="AK15" s="773">
        <v>4</v>
      </c>
    </row>
    <row r="16" spans="1:37" ht="51" customHeight="1">
      <c r="A16" s="814">
        <v>10</v>
      </c>
      <c r="B16" s="815" t="s">
        <v>296</v>
      </c>
      <c r="C16" s="816">
        <v>43</v>
      </c>
      <c r="D16" s="817">
        <v>2</v>
      </c>
      <c r="E16" s="818">
        <v>5.38</v>
      </c>
      <c r="F16" s="818">
        <v>5.38</v>
      </c>
      <c r="G16" s="819">
        <f t="shared" si="10"/>
        <v>0</v>
      </c>
      <c r="H16" s="820"/>
      <c r="I16" s="820"/>
      <c r="J16" s="820"/>
      <c r="K16" s="820"/>
      <c r="L16" s="820"/>
      <c r="M16" s="821" t="str">
        <f t="shared" si="6"/>
        <v>ｈ＝２．０％＊Ｌ＋３０ｃｍ－⊿Ｈｃｍ</v>
      </c>
      <c r="N16" s="820">
        <f t="shared" si="11"/>
        <v>116</v>
      </c>
      <c r="O16" s="820">
        <f t="shared" si="0"/>
        <v>116</v>
      </c>
      <c r="P16" s="820">
        <f t="shared" si="1"/>
        <v>0</v>
      </c>
      <c r="Q16" s="820">
        <f t="shared" si="2"/>
        <v>0</v>
      </c>
      <c r="R16" s="820">
        <f t="shared" si="3"/>
        <v>0</v>
      </c>
      <c r="S16" s="822">
        <f t="shared" si="7"/>
        <v>1.16</v>
      </c>
      <c r="T16" s="823"/>
      <c r="U16" s="968"/>
      <c r="V16" s="969"/>
      <c r="W16" s="970"/>
      <c r="Y16" s="813">
        <f t="shared" si="8"/>
        <v>1.16</v>
      </c>
      <c r="Z16" s="813">
        <f t="shared" si="4"/>
        <v>1.23</v>
      </c>
      <c r="AA16" s="813">
        <f t="shared" si="5"/>
        <v>1.016</v>
      </c>
      <c r="AD16" s="798">
        <f t="shared" si="9"/>
        <v>1.16</v>
      </c>
      <c r="AE16" s="799">
        <v>0.8</v>
      </c>
      <c r="AF16" s="773"/>
      <c r="AG16" s="824">
        <v>0</v>
      </c>
      <c r="AH16" s="813">
        <v>1</v>
      </c>
      <c r="AI16" s="813">
        <v>2</v>
      </c>
      <c r="AJ16" s="813">
        <v>3</v>
      </c>
      <c r="AK16" s="773">
        <v>4</v>
      </c>
    </row>
    <row r="17" spans="1:23" ht="27" customHeight="1">
      <c r="A17" s="825" t="s">
        <v>297</v>
      </c>
      <c r="B17" s="781"/>
      <c r="C17" s="826"/>
      <c r="D17" s="781"/>
      <c r="E17" s="827"/>
      <c r="F17" s="827"/>
      <c r="G17" s="781"/>
      <c r="H17" s="781"/>
      <c r="I17" s="781"/>
      <c r="J17" s="781"/>
      <c r="K17" s="781"/>
      <c r="L17" s="781"/>
      <c r="M17" s="781"/>
      <c r="N17" s="781"/>
      <c r="O17" s="781"/>
      <c r="P17" s="781"/>
      <c r="Q17" s="781"/>
      <c r="R17" s="781"/>
      <c r="S17" s="828"/>
      <c r="T17" s="781"/>
      <c r="U17" s="781"/>
      <c r="V17" s="781"/>
      <c r="W17" s="829"/>
    </row>
    <row r="18" spans="1:23" ht="27" customHeight="1">
      <c r="A18" s="830" t="s">
        <v>298</v>
      </c>
      <c r="B18" s="831" t="s">
        <v>299</v>
      </c>
      <c r="C18" s="826"/>
      <c r="D18" s="781"/>
      <c r="E18" s="827"/>
      <c r="F18" s="827"/>
      <c r="G18" s="781"/>
      <c r="H18" s="781"/>
      <c r="I18" s="781"/>
      <c r="J18" s="781"/>
      <c r="K18" s="781"/>
      <c r="L18" s="781"/>
      <c r="M18" s="781"/>
      <c r="N18" s="832"/>
      <c r="O18" s="832" t="s">
        <v>300</v>
      </c>
      <c r="P18" s="781"/>
      <c r="Q18" s="781"/>
      <c r="R18" s="781"/>
      <c r="S18" s="781"/>
      <c r="T18" s="833"/>
      <c r="U18" s="781"/>
      <c r="V18" s="781"/>
      <c r="W18" s="829"/>
    </row>
    <row r="19" spans="1:23" ht="27" customHeight="1">
      <c r="A19" s="830" t="s">
        <v>301</v>
      </c>
      <c r="B19" s="831" t="s">
        <v>302</v>
      </c>
      <c r="C19" s="781"/>
      <c r="D19" s="781"/>
      <c r="E19" s="827"/>
      <c r="F19" s="827"/>
      <c r="G19" s="781"/>
      <c r="H19" s="781"/>
      <c r="I19" s="781"/>
      <c r="J19" s="781"/>
      <c r="K19" s="781"/>
      <c r="L19" s="781"/>
      <c r="M19" s="781"/>
      <c r="N19" s="781"/>
      <c r="O19" s="781"/>
      <c r="P19" s="781"/>
      <c r="Q19" s="781"/>
      <c r="R19" s="781"/>
      <c r="S19" s="828"/>
      <c r="T19" s="781" t="s">
        <v>303</v>
      </c>
      <c r="U19" s="781"/>
      <c r="V19" s="834"/>
      <c r="W19" s="835"/>
    </row>
    <row r="20" spans="1:23" ht="27" customHeight="1">
      <c r="A20" s="836" t="s">
        <v>304</v>
      </c>
      <c r="F20" s="839"/>
      <c r="G20" s="781"/>
      <c r="H20" s="833"/>
      <c r="I20" s="833"/>
      <c r="J20" s="833"/>
      <c r="K20" s="833"/>
      <c r="L20" s="833"/>
      <c r="M20" s="833"/>
      <c r="N20" s="833"/>
      <c r="O20" s="833"/>
      <c r="P20" s="833"/>
      <c r="Q20" s="833"/>
      <c r="R20" s="833"/>
      <c r="S20" s="840"/>
      <c r="T20" s="833"/>
      <c r="U20" s="833"/>
      <c r="V20" s="833"/>
      <c r="W20" s="835"/>
    </row>
    <row r="21" spans="1:23" ht="27" customHeight="1">
      <c r="A21" s="836" t="s">
        <v>305</v>
      </c>
      <c r="B21" s="841"/>
      <c r="C21" s="841"/>
      <c r="D21" s="841"/>
      <c r="E21" s="841"/>
      <c r="F21" s="839"/>
      <c r="G21" s="842"/>
      <c r="H21" s="833"/>
      <c r="I21" s="833"/>
      <c r="J21" s="833"/>
      <c r="K21" s="833"/>
      <c r="L21" s="833"/>
      <c r="M21" s="833"/>
      <c r="N21" s="833"/>
      <c r="O21" s="833"/>
      <c r="P21" s="833"/>
      <c r="Q21" s="833"/>
      <c r="R21" s="833"/>
      <c r="S21" s="840"/>
      <c r="T21" s="833"/>
      <c r="U21" s="833"/>
      <c r="V21" s="833"/>
      <c r="W21" s="835"/>
    </row>
    <row r="22" spans="1:23" ht="27" customHeight="1">
      <c r="A22" s="836" t="s">
        <v>306</v>
      </c>
      <c r="B22" s="841"/>
      <c r="C22" s="841"/>
      <c r="D22" s="841"/>
      <c r="E22" s="841"/>
      <c r="F22" s="839"/>
      <c r="G22" s="833"/>
      <c r="H22" s="833"/>
      <c r="I22" s="833"/>
      <c r="J22" s="833"/>
      <c r="K22" s="833"/>
      <c r="L22" s="833"/>
      <c r="M22" s="843"/>
      <c r="N22" s="833"/>
      <c r="O22" s="833"/>
      <c r="P22" s="833"/>
      <c r="Q22" s="833"/>
      <c r="R22" s="833"/>
      <c r="S22" s="828"/>
      <c r="T22" s="833"/>
      <c r="U22" s="833"/>
      <c r="V22" s="833"/>
      <c r="W22" s="835"/>
    </row>
    <row r="23" spans="1:23" ht="27" customHeight="1">
      <c r="A23" s="836" t="s">
        <v>307</v>
      </c>
      <c r="B23" s="841"/>
      <c r="C23" s="841"/>
      <c r="D23" s="841"/>
      <c r="E23" s="841"/>
      <c r="F23" s="839"/>
      <c r="G23" s="833"/>
      <c r="H23" s="833"/>
      <c r="I23" s="833"/>
      <c r="J23" s="833"/>
      <c r="K23" s="833"/>
      <c r="L23" s="833"/>
      <c r="M23" s="781"/>
      <c r="N23" s="833"/>
      <c r="O23" s="833"/>
      <c r="P23" s="833"/>
      <c r="Q23" s="833"/>
      <c r="R23" s="833"/>
      <c r="S23" s="840"/>
      <c r="T23" s="833"/>
      <c r="U23" s="833"/>
      <c r="V23" s="833"/>
      <c r="W23" s="835"/>
    </row>
    <row r="24" spans="1:23" ht="27" customHeight="1">
      <c r="A24" s="836"/>
      <c r="B24" s="841"/>
      <c r="C24" s="844" t="s">
        <v>308</v>
      </c>
      <c r="D24" s="841"/>
      <c r="E24" s="841"/>
      <c r="F24" s="839"/>
      <c r="G24" s="833"/>
      <c r="H24" s="833"/>
      <c r="I24" s="833"/>
      <c r="J24" s="833"/>
      <c r="K24" s="833"/>
      <c r="L24" s="833"/>
      <c r="M24" s="781"/>
      <c r="N24" s="833"/>
      <c r="O24" s="833"/>
      <c r="P24" s="833"/>
      <c r="Q24" s="833"/>
      <c r="R24" s="833"/>
      <c r="S24" s="840"/>
      <c r="T24" s="833"/>
      <c r="U24" s="833"/>
      <c r="V24" s="833"/>
      <c r="W24" s="835"/>
    </row>
    <row r="25" spans="1:23" ht="27" customHeight="1">
      <c r="A25" s="845"/>
      <c r="B25" s="833"/>
      <c r="C25" s="846"/>
      <c r="D25" s="833"/>
      <c r="E25" s="839"/>
      <c r="F25" s="839"/>
      <c r="G25" s="833"/>
      <c r="H25" s="833"/>
      <c r="I25" s="833"/>
      <c r="J25" s="833"/>
      <c r="K25" s="833"/>
      <c r="L25" s="833"/>
      <c r="M25" s="781"/>
      <c r="N25" s="833"/>
      <c r="O25" s="833"/>
      <c r="P25" s="833"/>
      <c r="Q25" s="833"/>
      <c r="R25" s="833"/>
      <c r="S25" s="840"/>
      <c r="T25" s="833"/>
      <c r="U25" s="833"/>
      <c r="V25" s="833"/>
      <c r="W25" s="835"/>
    </row>
    <row r="26" spans="1:23" ht="27" customHeight="1">
      <c r="A26" s="847"/>
      <c r="B26" s="848"/>
      <c r="C26" s="849"/>
      <c r="D26" s="848"/>
      <c r="E26" s="850"/>
      <c r="F26" s="850"/>
      <c r="G26" s="848"/>
      <c r="H26" s="848"/>
      <c r="I26" s="848"/>
      <c r="J26" s="848"/>
      <c r="K26" s="848"/>
      <c r="L26" s="848"/>
      <c r="M26" s="848"/>
      <c r="N26" s="848"/>
      <c r="O26" s="848"/>
      <c r="P26" s="848"/>
      <c r="Q26" s="848"/>
      <c r="R26" s="848"/>
      <c r="S26" s="851"/>
      <c r="T26" s="848"/>
      <c r="U26" s="848"/>
      <c r="V26" s="848"/>
      <c r="W26" s="852"/>
    </row>
  </sheetData>
  <sheetProtection sheet="1"/>
  <mergeCells count="19">
    <mergeCell ref="U13:W13"/>
    <mergeCell ref="U14:W14"/>
    <mergeCell ref="U15:W15"/>
    <mergeCell ref="U16:W16"/>
    <mergeCell ref="U7:W7"/>
    <mergeCell ref="U8:W8"/>
    <mergeCell ref="U9:W9"/>
    <mergeCell ref="U10:W10"/>
    <mergeCell ref="U11:W11"/>
    <mergeCell ref="U12:W12"/>
    <mergeCell ref="A1:W1"/>
    <mergeCell ref="C2:M2"/>
    <mergeCell ref="B3:C3"/>
    <mergeCell ref="B4:C4"/>
    <mergeCell ref="A5:A6"/>
    <mergeCell ref="B5:B6"/>
    <mergeCell ref="S5:T5"/>
    <mergeCell ref="U5:W6"/>
    <mergeCell ref="S6:T6"/>
  </mergeCells>
  <dataValidations count="1">
    <dataValidation type="list" allowBlank="1" showInputMessage="1" showErrorMessage="1" sqref="D7:D16">
      <formula1>$AG$7:$AK$7</formula1>
    </dataValidation>
  </dataValidations>
  <printOptions horizontalCentered="1" verticalCentered="1"/>
  <pageMargins left="1.299212598425197" right="0.35433070866141736" top="1.062992125984252" bottom="0.31496062992125984" header="0.5118110236220472" footer="0.2755905511811024"/>
  <pageSetup blackAndWhite="1" horizontalDpi="300" verticalDpi="300" orientation="portrait" paperSize="9" scale="70" r:id="rId4"/>
  <colBreaks count="1" manualBreakCount="1">
    <brk id="23" max="65535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X28"/>
  <sheetViews>
    <sheetView showZeros="0" view="pageBreakPreview" zoomScale="50" zoomScaleSheetLayoutView="50" zoomScalePageLayoutView="0" workbookViewId="0" topLeftCell="A1">
      <selection activeCell="C8" sqref="C8"/>
    </sheetView>
  </sheetViews>
  <sheetFormatPr defaultColWidth="9.00390625" defaultRowHeight="13.5" outlineLevelCol="1"/>
  <cols>
    <col min="1" max="1" width="11.25390625" style="746" customWidth="1"/>
    <col min="2" max="2" width="35.625" style="746" customWidth="1"/>
    <col min="3" max="3" width="14.625" style="769" customWidth="1"/>
    <col min="4" max="4" width="13.125" style="746" customWidth="1"/>
    <col min="5" max="5" width="13.125" style="770" customWidth="1"/>
    <col min="6" max="6" width="13.125" style="771" customWidth="1"/>
    <col min="7" max="8" width="13.125" style="770" customWidth="1"/>
    <col min="9" max="10" width="13.125" style="746" customWidth="1"/>
    <col min="11" max="11" width="13.125" style="772" customWidth="1"/>
    <col min="12" max="14" width="13.125" style="746" customWidth="1"/>
    <col min="15" max="16" width="16.625" style="746" customWidth="1"/>
    <col min="17" max="17" width="18.00390625" style="746" customWidth="1"/>
    <col min="18" max="18" width="9.00390625" style="746" customWidth="1"/>
    <col min="19" max="19" width="11.625" style="746" hidden="1" customWidth="1" outlineLevel="1"/>
    <col min="20" max="26" width="9.00390625" style="746" hidden="1" customWidth="1" outlineLevel="1"/>
    <col min="27" max="27" width="9.00390625" style="746" customWidth="1" collapsed="1"/>
    <col min="28" max="16384" width="9.00390625" style="746" customWidth="1"/>
  </cols>
  <sheetData>
    <row r="1" spans="1:17" s="673" customFormat="1" ht="30" customHeight="1">
      <c r="A1" s="931" t="s">
        <v>220</v>
      </c>
      <c r="B1" s="931"/>
      <c r="C1" s="931"/>
      <c r="D1" s="931"/>
      <c r="E1" s="931"/>
      <c r="F1" s="931"/>
      <c r="G1" s="931"/>
      <c r="H1" s="931"/>
      <c r="I1" s="931"/>
      <c r="J1" s="931"/>
      <c r="K1" s="931"/>
      <c r="L1" s="931"/>
      <c r="M1" s="931"/>
      <c r="N1" s="931"/>
      <c r="O1" s="931"/>
      <c r="P1" s="931"/>
      <c r="Q1" s="931"/>
    </row>
    <row r="2" spans="1:17" s="673" customFormat="1" ht="23.25" customHeight="1">
      <c r="A2" s="674"/>
      <c r="B2" s="674"/>
      <c r="C2" s="674"/>
      <c r="D2" s="932" t="s">
        <v>221</v>
      </c>
      <c r="E2" s="932"/>
      <c r="F2" s="932"/>
      <c r="G2" s="932"/>
      <c r="H2" s="932"/>
      <c r="I2" s="932"/>
      <c r="J2" s="932"/>
      <c r="K2" s="932"/>
      <c r="L2" s="932"/>
      <c r="M2" s="674"/>
      <c r="N2" s="674"/>
      <c r="O2" s="674"/>
      <c r="P2" s="674"/>
      <c r="Q2" s="674"/>
    </row>
    <row r="3" spans="1:17" s="673" customFormat="1" ht="26.25" customHeight="1">
      <c r="A3" s="675" t="s">
        <v>222</v>
      </c>
      <c r="B3" s="933" t="str">
        <f>'汚水ます深さ決定資料 (宅内延長)'!B3</f>
        <v>〇〇号汚水準幹線外管渠工事</v>
      </c>
      <c r="C3" s="933"/>
      <c r="D3" s="932"/>
      <c r="E3" s="932"/>
      <c r="F3" s="932"/>
      <c r="G3" s="932"/>
      <c r="H3" s="932"/>
      <c r="I3" s="932"/>
      <c r="J3" s="932"/>
      <c r="K3" s="932"/>
      <c r="L3" s="932"/>
      <c r="Q3" s="676"/>
    </row>
    <row r="4" spans="1:17" s="673" customFormat="1" ht="26.25" customHeight="1">
      <c r="A4" s="675" t="s">
        <v>106</v>
      </c>
      <c r="B4" s="934" t="str">
        <f>'汚水ます深さ決定資料 (宅内延長)'!B4</f>
        <v>〇〇号汚水準幹線</v>
      </c>
      <c r="C4" s="934"/>
      <c r="E4" s="677"/>
      <c r="F4" s="677"/>
      <c r="G4" s="677"/>
      <c r="H4" s="677"/>
      <c r="K4" s="678"/>
      <c r="L4" s="679"/>
      <c r="M4" s="679"/>
      <c r="N4" s="679"/>
      <c r="Q4" s="676"/>
    </row>
    <row r="5" spans="1:20" s="673" customFormat="1" ht="40.5" customHeight="1">
      <c r="A5" s="935" t="s">
        <v>223</v>
      </c>
      <c r="B5" s="938" t="s">
        <v>224</v>
      </c>
      <c r="C5" s="941" t="s">
        <v>225</v>
      </c>
      <c r="D5" s="680" t="s">
        <v>226</v>
      </c>
      <c r="E5" s="680" t="s">
        <v>227</v>
      </c>
      <c r="F5" s="681" t="s">
        <v>228</v>
      </c>
      <c r="G5" s="681" t="s">
        <v>229</v>
      </c>
      <c r="H5" s="681" t="s">
        <v>230</v>
      </c>
      <c r="I5" s="680" t="s">
        <v>231</v>
      </c>
      <c r="J5" s="680" t="s">
        <v>232</v>
      </c>
      <c r="K5" s="682" t="s">
        <v>233</v>
      </c>
      <c r="L5" s="683" t="s">
        <v>234</v>
      </c>
      <c r="M5" s="684" t="s">
        <v>235</v>
      </c>
      <c r="N5" s="684" t="s">
        <v>235</v>
      </c>
      <c r="O5" s="685" t="s">
        <v>236</v>
      </c>
      <c r="P5" s="686" t="s">
        <v>237</v>
      </c>
      <c r="Q5" s="944" t="s">
        <v>238</v>
      </c>
      <c r="R5" s="645"/>
      <c r="S5" s="929"/>
      <c r="T5" s="930"/>
    </row>
    <row r="6" spans="1:20" s="673" customFormat="1" ht="17.25" customHeight="1">
      <c r="A6" s="936"/>
      <c r="B6" s="939"/>
      <c r="C6" s="942"/>
      <c r="D6" s="687" t="s">
        <v>239</v>
      </c>
      <c r="E6" s="687" t="s">
        <v>240</v>
      </c>
      <c r="F6" s="688" t="s">
        <v>241</v>
      </c>
      <c r="G6" s="688" t="s">
        <v>242</v>
      </c>
      <c r="H6" s="688" t="s">
        <v>243</v>
      </c>
      <c r="I6" s="687" t="s">
        <v>244</v>
      </c>
      <c r="J6" s="687"/>
      <c r="K6" s="689"/>
      <c r="L6" s="690" t="s">
        <v>245</v>
      </c>
      <c r="M6" s="691" t="s">
        <v>246</v>
      </c>
      <c r="N6" s="691" t="s">
        <v>247</v>
      </c>
      <c r="O6" s="692" t="s">
        <v>248</v>
      </c>
      <c r="P6" s="693" t="s">
        <v>249</v>
      </c>
      <c r="Q6" s="945"/>
      <c r="S6" s="929"/>
      <c r="T6" s="930"/>
    </row>
    <row r="7" spans="1:20" s="673" customFormat="1" ht="21" customHeight="1">
      <c r="A7" s="937"/>
      <c r="B7" s="940"/>
      <c r="C7" s="943"/>
      <c r="D7" s="694" t="s">
        <v>250</v>
      </c>
      <c r="E7" s="695" t="s">
        <v>251</v>
      </c>
      <c r="F7" s="695" t="s">
        <v>252</v>
      </c>
      <c r="G7" s="695" t="s">
        <v>251</v>
      </c>
      <c r="H7" s="695" t="s">
        <v>252</v>
      </c>
      <c r="I7" s="694" t="s">
        <v>253</v>
      </c>
      <c r="J7" s="694" t="s">
        <v>253</v>
      </c>
      <c r="K7" s="696" t="s">
        <v>254</v>
      </c>
      <c r="L7" s="697" t="s">
        <v>255</v>
      </c>
      <c r="M7" s="698" t="s">
        <v>256</v>
      </c>
      <c r="N7" s="698" t="s">
        <v>256</v>
      </c>
      <c r="O7" s="699" t="s">
        <v>257</v>
      </c>
      <c r="P7" s="700" t="s">
        <v>258</v>
      </c>
      <c r="Q7" s="946"/>
      <c r="S7" s="929"/>
      <c r="T7" s="930"/>
    </row>
    <row r="8" spans="1:24" s="673" customFormat="1" ht="51" customHeight="1">
      <c r="A8" s="701">
        <f>IF('汚水ます深さ決定資料 (宅内延長)'!A7="","",'汚水ます深さ決定資料 (宅内延長)'!A7)</f>
        <v>1</v>
      </c>
      <c r="B8" s="702" t="str">
        <f>IF('汚水ます深さ決定資料 (宅内延長)'!B7="","",'汚水ます深さ決定資料 (宅内延長)'!B7)</f>
        <v>Aさん</v>
      </c>
      <c r="C8" s="703" t="s">
        <v>259</v>
      </c>
      <c r="D8" s="704">
        <f>IF(C8="","　",'汚水ます深さ決定資料 (宅内延長)'!E7)</f>
        <v>5.36</v>
      </c>
      <c r="E8" s="705">
        <f>N(+F8-G8)</f>
        <v>4.68</v>
      </c>
      <c r="F8" s="706">
        <v>5.5</v>
      </c>
      <c r="G8" s="706">
        <v>0.82</v>
      </c>
      <c r="H8" s="706">
        <v>2.01</v>
      </c>
      <c r="I8" s="706">
        <v>0.1</v>
      </c>
      <c r="J8" s="707">
        <v>0.165</v>
      </c>
      <c r="K8" s="708">
        <v>1</v>
      </c>
      <c r="L8" s="709">
        <f aca="true" t="shared" si="0" ref="L8:L17">IF(G8&gt;0,E8-I8+(H8*K8/100)-J8+0.0075,"　")</f>
        <v>4.4426000000000005</v>
      </c>
      <c r="M8" s="710">
        <f>IF(N8="　","　",S8)</f>
        <v>0.8674</v>
      </c>
      <c r="N8" s="711">
        <f>'汚水ます深さ決定資料 (宅内延長)'!S7</f>
        <v>1.14</v>
      </c>
      <c r="O8" s="712">
        <f>MAX(M8:N8)</f>
        <v>1.14</v>
      </c>
      <c r="P8" s="713">
        <v>1.15</v>
      </c>
      <c r="Q8" s="714"/>
      <c r="S8" s="715">
        <f aca="true" t="shared" si="1" ref="S8:S17">IF(G8&gt;0,D8-(L8+0.05),"　")</f>
        <v>0.8674</v>
      </c>
      <c r="V8" s="673" t="s">
        <v>260</v>
      </c>
      <c r="W8" s="673" t="s">
        <v>261</v>
      </c>
      <c r="X8" s="673" t="s">
        <v>262</v>
      </c>
    </row>
    <row r="9" spans="1:19" s="673" customFormat="1" ht="51" customHeight="1">
      <c r="A9" s="701">
        <f>IF('汚水ます深さ決定資料 (宅内延長)'!A8="","",'汚水ます深さ決定資料 (宅内延長)'!A8)</f>
        <v>2</v>
      </c>
      <c r="B9" s="702" t="str">
        <f>IF('汚水ます深さ決定資料 (宅内延長)'!B8="","",'汚水ます深さ決定資料 (宅内延長)'!B8)</f>
        <v>Bさん</v>
      </c>
      <c r="C9" s="703" t="s">
        <v>263</v>
      </c>
      <c r="D9" s="704">
        <f>IF(C9="","　",'汚水ます深さ決定資料 (宅内延長)'!E8)</f>
        <v>5.23</v>
      </c>
      <c r="E9" s="705">
        <f aca="true" t="shared" si="2" ref="E9:E16">N(+F9-G9)</f>
        <v>4.699999999999999</v>
      </c>
      <c r="F9" s="706">
        <v>5.1</v>
      </c>
      <c r="G9" s="706">
        <v>0.4</v>
      </c>
      <c r="H9" s="706">
        <v>0.6</v>
      </c>
      <c r="I9" s="706">
        <v>0.3</v>
      </c>
      <c r="J9" s="707">
        <v>0.165</v>
      </c>
      <c r="K9" s="708">
        <v>1</v>
      </c>
      <c r="L9" s="709">
        <f t="shared" si="0"/>
        <v>4.2485</v>
      </c>
      <c r="M9" s="710">
        <f aca="true" t="shared" si="3" ref="M9:M16">IF(N9="　","　",S9)</f>
        <v>0.9315000000000007</v>
      </c>
      <c r="N9" s="711">
        <f>'汚水ます深さ決定資料 (宅内延長)'!S8</f>
        <v>0.8</v>
      </c>
      <c r="O9" s="712">
        <f>MAX(M9:N9)</f>
        <v>0.9315000000000007</v>
      </c>
      <c r="P9" s="713">
        <v>0.96</v>
      </c>
      <c r="Q9" s="714"/>
      <c r="S9" s="715">
        <f t="shared" si="1"/>
        <v>0.9315000000000007</v>
      </c>
    </row>
    <row r="10" spans="1:19" s="673" customFormat="1" ht="51" customHeight="1">
      <c r="A10" s="701">
        <f>IF('汚水ます深さ決定資料 (宅内延長)'!A9="","",'汚水ます深さ決定資料 (宅内延長)'!A9)</f>
        <v>3</v>
      </c>
      <c r="B10" s="702" t="str">
        <f>IF('汚水ます深さ決定資料 (宅内延長)'!B9="","",'汚水ます深さ決定資料 (宅内延長)'!B9)</f>
        <v>Cさん</v>
      </c>
      <c r="C10" s="703" t="s">
        <v>263</v>
      </c>
      <c r="D10" s="704">
        <f>IF(C10="","　",'汚水ます深さ決定資料 (宅内延長)'!E9)</f>
        <v>5.3</v>
      </c>
      <c r="E10" s="705">
        <f t="shared" si="2"/>
        <v>4.739999999999999</v>
      </c>
      <c r="F10" s="716">
        <v>5.14</v>
      </c>
      <c r="G10" s="716">
        <v>0.4</v>
      </c>
      <c r="H10" s="716">
        <v>0.6</v>
      </c>
      <c r="I10" s="706">
        <v>0.3</v>
      </c>
      <c r="J10" s="707">
        <v>0.165</v>
      </c>
      <c r="K10" s="708">
        <v>1</v>
      </c>
      <c r="L10" s="709">
        <f t="shared" si="0"/>
        <v>4.2885</v>
      </c>
      <c r="M10" s="710">
        <f t="shared" si="3"/>
        <v>0.9615</v>
      </c>
      <c r="N10" s="711">
        <f>'汚水ます深さ決定資料 (宅内延長)'!S9</f>
        <v>0.8299999999999998</v>
      </c>
      <c r="O10" s="712">
        <f aca="true" t="shared" si="4" ref="O10:O17">MAX(M10:N10)</f>
        <v>0.9615</v>
      </c>
      <c r="P10" s="713">
        <v>0.97</v>
      </c>
      <c r="Q10" s="714"/>
      <c r="S10" s="715">
        <f t="shared" si="1"/>
        <v>0.9615</v>
      </c>
    </row>
    <row r="11" spans="1:19" s="673" customFormat="1" ht="51" customHeight="1">
      <c r="A11" s="701">
        <f>IF('汚水ます深さ決定資料 (宅内延長)'!A10="","",'汚水ます深さ決定資料 (宅内延長)'!A10)</f>
        <v>4</v>
      </c>
      <c r="B11" s="702" t="str">
        <f>IF('汚水ます深さ決定資料 (宅内延長)'!B10="","",'汚水ます深さ決定資料 (宅内延長)'!B10)</f>
        <v>Dさん</v>
      </c>
      <c r="C11" s="703" t="s">
        <v>264</v>
      </c>
      <c r="D11" s="704">
        <f>IF(C11="","　",'汚水ます深さ決定資料 (宅内延長)'!E10)</f>
        <v>5.3</v>
      </c>
      <c r="E11" s="705">
        <f t="shared" si="2"/>
        <v>4.54</v>
      </c>
      <c r="F11" s="716">
        <v>5.36</v>
      </c>
      <c r="G11" s="716">
        <v>0.82</v>
      </c>
      <c r="H11" s="716">
        <v>2.01</v>
      </c>
      <c r="I11" s="706">
        <v>0.1</v>
      </c>
      <c r="J11" s="707">
        <v>0.165</v>
      </c>
      <c r="K11" s="708">
        <v>1</v>
      </c>
      <c r="L11" s="709">
        <f t="shared" si="0"/>
        <v>4.302600000000001</v>
      </c>
      <c r="M11" s="710">
        <f t="shared" si="3"/>
        <v>0.9473999999999991</v>
      </c>
      <c r="N11" s="711">
        <f>'汚水ます深さ決定資料 (宅内延長)'!S10</f>
        <v>1.1800000000000002</v>
      </c>
      <c r="O11" s="712">
        <f t="shared" si="4"/>
        <v>1.1800000000000002</v>
      </c>
      <c r="P11" s="713">
        <v>1.18</v>
      </c>
      <c r="Q11" s="714" t="s">
        <v>261</v>
      </c>
      <c r="S11" s="715">
        <f t="shared" si="1"/>
        <v>0.9473999999999991</v>
      </c>
    </row>
    <row r="12" spans="1:19" s="673" customFormat="1" ht="51" customHeight="1">
      <c r="A12" s="701">
        <f>IF('汚水ます深さ決定資料 (宅内延長)'!A11="","",'汚水ます深さ決定資料 (宅内延長)'!A11)</f>
        <v>5</v>
      </c>
      <c r="B12" s="702" t="str">
        <f>IF('汚水ます深さ決定資料 (宅内延長)'!B11="","",'汚水ます深さ決定資料 (宅内延長)'!B11)</f>
        <v>Eさん</v>
      </c>
      <c r="C12" s="703" t="s">
        <v>264</v>
      </c>
      <c r="D12" s="704">
        <f>IF(C12="","　",'汚水ます深さ決定資料 (宅内延長)'!E11)</f>
        <v>5.71</v>
      </c>
      <c r="E12" s="705">
        <f t="shared" si="2"/>
        <v>4.4399999999999995</v>
      </c>
      <c r="F12" s="716">
        <v>5.26</v>
      </c>
      <c r="G12" s="716">
        <v>0.82</v>
      </c>
      <c r="H12" s="716">
        <v>2.01</v>
      </c>
      <c r="I12" s="706">
        <v>0.1</v>
      </c>
      <c r="J12" s="707">
        <v>0.165</v>
      </c>
      <c r="K12" s="708">
        <v>1</v>
      </c>
      <c r="L12" s="709">
        <f t="shared" si="0"/>
        <v>4.2026</v>
      </c>
      <c r="M12" s="710">
        <f t="shared" si="3"/>
        <v>1.4573999999999998</v>
      </c>
      <c r="N12" s="711">
        <f>'汚水ます深さ決定資料 (宅内延長)'!S11</f>
        <v>1.0199999999999996</v>
      </c>
      <c r="O12" s="712">
        <f t="shared" si="4"/>
        <v>1.4573999999999998</v>
      </c>
      <c r="P12" s="713">
        <v>0.9</v>
      </c>
      <c r="Q12" s="714" t="s">
        <v>260</v>
      </c>
      <c r="S12" s="715">
        <f t="shared" si="1"/>
        <v>1.4573999999999998</v>
      </c>
    </row>
    <row r="13" spans="1:19" s="673" customFormat="1" ht="51" customHeight="1">
      <c r="A13" s="717">
        <f>IF('汚水ます深さ決定資料 (宅内延長)'!A12="","",'汚水ます深さ決定資料 (宅内延長)'!A12)</f>
        <v>6</v>
      </c>
      <c r="B13" s="702" t="str">
        <f>IF('汚水ます深さ決定資料 (宅内延長)'!B12="","",'汚水ます深さ決定資料 (宅内延長)'!B12)</f>
        <v>Fさん</v>
      </c>
      <c r="C13" s="703" t="s">
        <v>264</v>
      </c>
      <c r="D13" s="718">
        <f>IF(C13="","　",'汚水ます深さ決定資料 (宅内延長)'!E12)</f>
        <v>5.27</v>
      </c>
      <c r="E13" s="705">
        <f t="shared" si="2"/>
        <v>4.46</v>
      </c>
      <c r="F13" s="719">
        <v>5.28</v>
      </c>
      <c r="G13" s="719">
        <v>0.82</v>
      </c>
      <c r="H13" s="719">
        <v>2.01</v>
      </c>
      <c r="I13" s="719">
        <v>0.1</v>
      </c>
      <c r="J13" s="707">
        <v>0.165</v>
      </c>
      <c r="K13" s="720">
        <v>1</v>
      </c>
      <c r="L13" s="709">
        <f t="shared" si="0"/>
        <v>4.222600000000001</v>
      </c>
      <c r="M13" s="721">
        <f t="shared" si="3"/>
        <v>0.997399999999999</v>
      </c>
      <c r="N13" s="711">
        <f>'汚水ます深さ決定資料 (宅内延長)'!S12</f>
        <v>1.0099999999999993</v>
      </c>
      <c r="O13" s="722">
        <f t="shared" si="4"/>
        <v>1.0099999999999993</v>
      </c>
      <c r="P13" s="713">
        <v>1.35</v>
      </c>
      <c r="Q13" s="714"/>
      <c r="S13" s="715">
        <f t="shared" si="1"/>
        <v>0.997399999999999</v>
      </c>
    </row>
    <row r="14" spans="1:19" s="673" customFormat="1" ht="51" customHeight="1">
      <c r="A14" s="723">
        <f>IF('汚水ます深さ決定資料 (宅内延長)'!A13="","",'汚水ます深さ決定資料 (宅内延長)'!A13)</f>
        <v>7</v>
      </c>
      <c r="B14" s="702" t="str">
        <f>IF('汚水ます深さ決定資料 (宅内延長)'!B13="","",'汚水ます深さ決定資料 (宅内延長)'!B13)</f>
        <v>Gさん</v>
      </c>
      <c r="C14" s="703" t="s">
        <v>265</v>
      </c>
      <c r="D14" s="718">
        <f>IF(C14="","　",'汚水ます深さ決定資料 (宅内延長)'!E13)</f>
        <v>5.63</v>
      </c>
      <c r="E14" s="705">
        <f t="shared" si="2"/>
        <v>4.5</v>
      </c>
      <c r="F14" s="719">
        <v>5</v>
      </c>
      <c r="G14" s="719">
        <v>0.5</v>
      </c>
      <c r="H14" s="719">
        <v>1</v>
      </c>
      <c r="I14" s="719">
        <v>0.3</v>
      </c>
      <c r="J14" s="707">
        <v>0.165</v>
      </c>
      <c r="K14" s="720">
        <v>1</v>
      </c>
      <c r="L14" s="709">
        <f t="shared" si="0"/>
        <v>4.0525</v>
      </c>
      <c r="M14" s="721">
        <f t="shared" si="3"/>
        <v>1.5274999999999999</v>
      </c>
      <c r="N14" s="711">
        <f>'汚水ます深さ決定資料 (宅内延長)'!S13</f>
        <v>1.3299999999999996</v>
      </c>
      <c r="O14" s="722">
        <f t="shared" si="4"/>
        <v>1.5274999999999999</v>
      </c>
      <c r="P14" s="713">
        <v>1.55</v>
      </c>
      <c r="Q14" s="714"/>
      <c r="S14" s="715">
        <f t="shared" si="1"/>
        <v>1.5274999999999999</v>
      </c>
    </row>
    <row r="15" spans="1:19" s="673" customFormat="1" ht="51" customHeight="1">
      <c r="A15" s="724">
        <f>IF('汚水ます深さ決定資料 (宅内延長)'!A14="","",'汚水ます深さ決定資料 (宅内延長)'!A14)</f>
        <v>8</v>
      </c>
      <c r="B15" s="702" t="str">
        <f>IF('汚水ます深さ決定資料 (宅内延長)'!B14="","",'汚水ます深さ決定資料 (宅内延長)'!B14)</f>
        <v>Hさん</v>
      </c>
      <c r="C15" s="703" t="s">
        <v>266</v>
      </c>
      <c r="D15" s="718">
        <f>IF(C15="","　",'汚水ます深さ決定資料 (宅内延長)'!E14)</f>
        <v>5.32</v>
      </c>
      <c r="E15" s="705">
        <f t="shared" si="2"/>
        <v>4.47</v>
      </c>
      <c r="F15" s="719">
        <v>5.29</v>
      </c>
      <c r="G15" s="719">
        <v>0.82</v>
      </c>
      <c r="H15" s="719">
        <v>2.01</v>
      </c>
      <c r="I15" s="719">
        <v>0.1</v>
      </c>
      <c r="J15" s="707">
        <v>0.165</v>
      </c>
      <c r="K15" s="720">
        <v>1</v>
      </c>
      <c r="L15" s="709">
        <f t="shared" si="0"/>
        <v>4.232600000000001</v>
      </c>
      <c r="M15" s="721">
        <f t="shared" si="3"/>
        <v>1.0373999999999999</v>
      </c>
      <c r="N15" s="711">
        <f>'汚水ます深さ決定資料 (宅内延長)'!S14</f>
        <v>1.2500000000000004</v>
      </c>
      <c r="O15" s="722">
        <f t="shared" si="4"/>
        <v>1.2500000000000004</v>
      </c>
      <c r="P15" s="713">
        <v>1.3</v>
      </c>
      <c r="Q15" s="714"/>
      <c r="S15" s="715">
        <f t="shared" si="1"/>
        <v>1.0373999999999999</v>
      </c>
    </row>
    <row r="16" spans="1:19" s="673" customFormat="1" ht="51" customHeight="1">
      <c r="A16" s="725">
        <f>IF('汚水ます深さ決定資料 (宅内延長)'!A15="","",'汚水ます深さ決定資料 (宅内延長)'!A15)</f>
        <v>9</v>
      </c>
      <c r="B16" s="702" t="str">
        <f>IF('汚水ます深さ決定資料 (宅内延長)'!B15="","",'汚水ます深さ決定資料 (宅内延長)'!B15)</f>
        <v>Iさん</v>
      </c>
      <c r="C16" s="703" t="s">
        <v>266</v>
      </c>
      <c r="D16" s="718">
        <f>IF(C16="","　",'汚水ます深さ決定資料 (宅内延長)'!E15)</f>
        <v>5.48</v>
      </c>
      <c r="E16" s="705">
        <f t="shared" si="2"/>
        <v>4.4799999999999995</v>
      </c>
      <c r="F16" s="719">
        <v>5.3</v>
      </c>
      <c r="G16" s="719">
        <v>0.82</v>
      </c>
      <c r="H16" s="719">
        <v>2.01</v>
      </c>
      <c r="I16" s="719">
        <v>0.1</v>
      </c>
      <c r="J16" s="707">
        <v>0.165</v>
      </c>
      <c r="K16" s="720">
        <v>1</v>
      </c>
      <c r="L16" s="709">
        <f t="shared" si="0"/>
        <v>4.2426</v>
      </c>
      <c r="M16" s="721">
        <f t="shared" si="3"/>
        <v>1.1874000000000002</v>
      </c>
      <c r="N16" s="711">
        <f>'汚水ます深さ決定資料 (宅内延長)'!S15</f>
        <v>1.5200000000000007</v>
      </c>
      <c r="O16" s="722">
        <f t="shared" si="4"/>
        <v>1.5200000000000007</v>
      </c>
      <c r="P16" s="713">
        <v>1.55</v>
      </c>
      <c r="Q16" s="714" t="s">
        <v>262</v>
      </c>
      <c r="S16" s="715">
        <f t="shared" si="1"/>
        <v>1.1874000000000002</v>
      </c>
    </row>
    <row r="17" spans="1:19" s="673" customFormat="1" ht="51" customHeight="1">
      <c r="A17" s="726">
        <f>IF('汚水ます深さ決定資料 (宅内延長)'!A16="","",'汚水ます深さ決定資料 (宅内延長)'!A16)</f>
        <v>10</v>
      </c>
      <c r="B17" s="727" t="str">
        <f>IF('汚水ます深さ決定資料 (宅内延長)'!B16="","",'汚水ます深さ決定資料 (宅内延長)'!B16)</f>
        <v>Kさん</v>
      </c>
      <c r="C17" s="728" t="s">
        <v>263</v>
      </c>
      <c r="D17" s="729">
        <f>IF(C17="","　",'汚水ます深さ決定資料 (宅内延長)'!E16)</f>
        <v>5.38</v>
      </c>
      <c r="E17" s="729">
        <f>+F17-G17</f>
        <v>4.3999999999999995</v>
      </c>
      <c r="F17" s="730">
        <v>5.22</v>
      </c>
      <c r="G17" s="730">
        <v>0.82</v>
      </c>
      <c r="H17" s="730">
        <v>2.01</v>
      </c>
      <c r="I17" s="730">
        <v>0.1</v>
      </c>
      <c r="J17" s="731">
        <v>0.165</v>
      </c>
      <c r="K17" s="732">
        <v>1</v>
      </c>
      <c r="L17" s="733">
        <f t="shared" si="0"/>
        <v>4.1626</v>
      </c>
      <c r="M17" s="734">
        <f>IF(N17="　","　",S17)</f>
        <v>1.1673999999999998</v>
      </c>
      <c r="N17" s="735">
        <f>'汚水ます深さ決定資料 (宅内延長)'!S16</f>
        <v>1.16</v>
      </c>
      <c r="O17" s="736">
        <f t="shared" si="4"/>
        <v>1.1673999999999998</v>
      </c>
      <c r="P17" s="737">
        <v>1.2</v>
      </c>
      <c r="Q17" s="738"/>
      <c r="S17" s="715">
        <f t="shared" si="1"/>
        <v>1.1673999999999998</v>
      </c>
    </row>
    <row r="18" spans="1:17" ht="27" customHeight="1">
      <c r="A18" s="739"/>
      <c r="B18" s="740"/>
      <c r="C18" s="741"/>
      <c r="D18" s="740"/>
      <c r="E18" s="742"/>
      <c r="F18" s="742"/>
      <c r="G18" s="742"/>
      <c r="H18" s="742"/>
      <c r="I18" s="740"/>
      <c r="J18" s="740"/>
      <c r="K18" s="743"/>
      <c r="L18" s="740"/>
      <c r="M18" s="744"/>
      <c r="N18" s="740"/>
      <c r="O18" s="740"/>
      <c r="P18" s="740"/>
      <c r="Q18" s="745"/>
    </row>
    <row r="19" spans="1:17" ht="27" customHeight="1">
      <c r="A19" s="747"/>
      <c r="B19" s="748"/>
      <c r="C19" s="741"/>
      <c r="D19" s="740"/>
      <c r="E19" s="742"/>
      <c r="F19" s="742"/>
      <c r="G19" s="742"/>
      <c r="H19" s="742"/>
      <c r="I19" s="740"/>
      <c r="J19" s="740"/>
      <c r="K19" s="740"/>
      <c r="L19" s="740"/>
      <c r="M19" s="740"/>
      <c r="N19" s="740"/>
      <c r="O19" s="740"/>
      <c r="P19" s="740"/>
      <c r="Q19" s="749"/>
    </row>
    <row r="20" spans="1:17" ht="27" customHeight="1">
      <c r="A20" s="747"/>
      <c r="B20" s="748"/>
      <c r="C20" s="740"/>
      <c r="D20" s="740"/>
      <c r="E20" s="742"/>
      <c r="F20" s="742"/>
      <c r="G20" s="742"/>
      <c r="H20" s="742"/>
      <c r="I20" s="740"/>
      <c r="J20" s="740"/>
      <c r="K20" s="743"/>
      <c r="L20" s="740"/>
      <c r="M20" s="740"/>
      <c r="N20" s="750"/>
      <c r="O20" s="750"/>
      <c r="P20" s="750"/>
      <c r="Q20" s="749"/>
    </row>
    <row r="21" spans="1:17" ht="27" customHeight="1">
      <c r="A21" s="747"/>
      <c r="B21" s="748"/>
      <c r="C21" s="740"/>
      <c r="D21" s="740"/>
      <c r="E21" s="742"/>
      <c r="F21" s="751"/>
      <c r="G21" s="752"/>
      <c r="H21" s="752"/>
      <c r="I21" s="740"/>
      <c r="J21" s="750"/>
      <c r="K21" s="753"/>
      <c r="L21" s="750"/>
      <c r="M21" s="750"/>
      <c r="N21" s="750"/>
      <c r="O21" s="750"/>
      <c r="P21" s="750"/>
      <c r="Q21" s="754"/>
    </row>
    <row r="22" spans="1:17" ht="27" customHeight="1">
      <c r="A22" s="747"/>
      <c r="B22" s="748"/>
      <c r="C22" s="740"/>
      <c r="D22" s="740"/>
      <c r="E22" s="742"/>
      <c r="F22" s="755"/>
      <c r="G22" s="752"/>
      <c r="H22" s="752"/>
      <c r="I22" s="756"/>
      <c r="J22" s="750"/>
      <c r="K22" s="753"/>
      <c r="L22" s="750"/>
      <c r="M22" s="750"/>
      <c r="N22" s="750"/>
      <c r="O22" s="750"/>
      <c r="P22" s="750"/>
      <c r="Q22" s="754"/>
    </row>
    <row r="23" spans="1:17" ht="27" customHeight="1">
      <c r="A23" s="747"/>
      <c r="B23" s="748"/>
      <c r="C23" s="740"/>
      <c r="D23" s="740"/>
      <c r="E23" s="742"/>
      <c r="F23" s="755"/>
      <c r="G23" s="752"/>
      <c r="H23" s="752"/>
      <c r="I23" s="750"/>
      <c r="J23" s="757"/>
      <c r="K23" s="743"/>
      <c r="L23" s="750"/>
      <c r="M23" s="750"/>
      <c r="N23" s="750"/>
      <c r="O23" s="750"/>
      <c r="P23" s="750"/>
      <c r="Q23" s="754"/>
    </row>
    <row r="24" spans="1:17" ht="27" customHeight="1">
      <c r="A24" s="747"/>
      <c r="B24" s="748"/>
      <c r="C24" s="740"/>
      <c r="D24" s="740"/>
      <c r="E24" s="742"/>
      <c r="F24" s="755"/>
      <c r="G24" s="752"/>
      <c r="H24" s="752"/>
      <c r="I24" s="750"/>
      <c r="J24" s="740"/>
      <c r="K24" s="753"/>
      <c r="L24" s="750"/>
      <c r="M24" s="750"/>
      <c r="N24" s="750"/>
      <c r="O24" s="750"/>
      <c r="P24" s="750"/>
      <c r="Q24" s="754"/>
    </row>
    <row r="25" spans="1:17" ht="27" customHeight="1">
      <c r="A25" s="758"/>
      <c r="B25" s="759"/>
      <c r="C25" s="760"/>
      <c r="D25" s="750"/>
      <c r="E25" s="752"/>
      <c r="F25" s="761"/>
      <c r="G25" s="752"/>
      <c r="H25" s="752"/>
      <c r="I25" s="750"/>
      <c r="J25" s="740"/>
      <c r="K25" s="753"/>
      <c r="L25" s="750"/>
      <c r="M25" s="750"/>
      <c r="N25" s="750"/>
      <c r="O25" s="750"/>
      <c r="P25" s="750"/>
      <c r="Q25" s="754"/>
    </row>
    <row r="26" spans="1:17" ht="27" customHeight="1">
      <c r="A26" s="758"/>
      <c r="B26" s="750"/>
      <c r="C26" s="760"/>
      <c r="D26" s="750"/>
      <c r="E26" s="752"/>
      <c r="F26" s="761"/>
      <c r="G26" s="752"/>
      <c r="H26" s="752"/>
      <c r="I26" s="750"/>
      <c r="J26" s="740"/>
      <c r="K26" s="753"/>
      <c r="L26" s="750"/>
      <c r="M26" s="750"/>
      <c r="N26" s="750"/>
      <c r="O26" s="750"/>
      <c r="P26" s="750"/>
      <c r="Q26" s="754"/>
    </row>
    <row r="27" spans="1:17" ht="27" customHeight="1">
      <c r="A27" s="762"/>
      <c r="B27" s="763"/>
      <c r="C27" s="764"/>
      <c r="D27" s="763"/>
      <c r="E27" s="765"/>
      <c r="F27" s="766"/>
      <c r="G27" s="765"/>
      <c r="H27" s="765"/>
      <c r="I27" s="763"/>
      <c r="J27" s="763"/>
      <c r="K27" s="767"/>
      <c r="L27" s="763"/>
      <c r="M27" s="763"/>
      <c r="N27" s="763"/>
      <c r="O27" s="763"/>
      <c r="P27" s="763"/>
      <c r="Q27" s="768"/>
    </row>
    <row r="28" spans="1:17" ht="27" customHeight="1">
      <c r="A28" s="750"/>
      <c r="B28" s="750"/>
      <c r="C28" s="760"/>
      <c r="D28" s="750"/>
      <c r="E28" s="752"/>
      <c r="F28" s="761"/>
      <c r="G28" s="752"/>
      <c r="H28" s="752"/>
      <c r="I28" s="750"/>
      <c r="J28" s="750"/>
      <c r="K28" s="753"/>
      <c r="L28" s="750"/>
      <c r="M28" s="750"/>
      <c r="N28" s="750"/>
      <c r="O28" s="750"/>
      <c r="P28" s="750"/>
      <c r="Q28" s="750"/>
    </row>
  </sheetData>
  <sheetProtection sheet="1"/>
  <mergeCells count="11">
    <mergeCell ref="Q5:Q7"/>
    <mergeCell ref="S5:S7"/>
    <mergeCell ref="T5:T7"/>
    <mergeCell ref="A1:Q1"/>
    <mergeCell ref="D2:L2"/>
    <mergeCell ref="B3:C3"/>
    <mergeCell ref="D3:L3"/>
    <mergeCell ref="B4:C4"/>
    <mergeCell ref="A5:A7"/>
    <mergeCell ref="B5:B7"/>
    <mergeCell ref="C5:C7"/>
  </mergeCells>
  <dataValidations count="1">
    <dataValidation type="list" allowBlank="1" showInputMessage="1" showErrorMessage="1" sqref="J8:J17">
      <formula1>"0.114,0.140,0.165,0.216"</formula1>
    </dataValidation>
  </dataValidations>
  <printOptions horizontalCentered="1" verticalCentered="1"/>
  <pageMargins left="0.3937007874015748" right="0.2362204724409449" top="1.0236220472440944" bottom="0.31496062992125984" header="0.2362204724409449" footer="0.2755905511811024"/>
  <pageSetup blackAndWhite="1" horizontalDpi="300" verticalDpi="300" orientation="portrait" paperSize="9" scale="6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NJ048</cp:lastModifiedBy>
  <cp:lastPrinted>2019-03-26T06:11:25Z</cp:lastPrinted>
  <dcterms:modified xsi:type="dcterms:W3CDTF">2019-03-26T06:59:45Z</dcterms:modified>
  <cp:category/>
  <cp:version/>
  <cp:contentType/>
  <cp:contentStatus/>
</cp:coreProperties>
</file>