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8540" windowHeight="8100" tabRatio="879" activeTab="0"/>
  </bookViews>
  <sheets>
    <sheet name="①下水道使用料計算シート" sheetId="1" r:id="rId1"/>
    <sheet name="②下水道料金計算方法" sheetId="2" r:id="rId2"/>
  </sheets>
  <definedNames>
    <definedName name="jigyou">#REF!</definedName>
    <definedName name="kaji">#REF!</definedName>
    <definedName name="ko">#REF!</definedName>
    <definedName name="ko100">#REF!</definedName>
    <definedName name="ko1001">#REF!</definedName>
    <definedName name="ko13">#REF!</definedName>
    <definedName name="ko131">#REF!</definedName>
    <definedName name="ko150">#REF!</definedName>
    <definedName name="ko1501">#REF!</definedName>
    <definedName name="ko200">#REF!</definedName>
    <definedName name="ko2001">#REF!</definedName>
    <definedName name="ko30">#REF!</definedName>
    <definedName name="ko301">#REF!</definedName>
    <definedName name="ko40">#REF!</definedName>
    <definedName name="ko401">#REF!</definedName>
    <definedName name="ko50">#REF!</definedName>
    <definedName name="ko501">#REF!</definedName>
    <definedName name="ko75">#REF!</definedName>
    <definedName name="ko751">#REF!</definedName>
    <definedName name="_xlnm.Print_Area" localSheetId="0">'①下水道使用料計算シート'!$A$1:$G$19</definedName>
    <definedName name="_xlnm.Print_Area" localSheetId="1">'②下水道料金計算方法'!$A$1:$H$38</definedName>
    <definedName name="tax100">#REF!</definedName>
    <definedName name="tax13">#REF!</definedName>
    <definedName name="tax150">#REF!</definedName>
    <definedName name="tax200">#REF!</definedName>
    <definedName name="tax30">#REF!</definedName>
    <definedName name="tax40">#REF!</definedName>
    <definedName name="tax50">#REF!</definedName>
    <definedName name="tax75">#REF!</definedName>
  </definedNames>
  <calcPr fullCalcOnLoad="1"/>
</workbook>
</file>

<file path=xl/sharedStrings.xml><?xml version="1.0" encoding="utf-8"?>
<sst xmlns="http://schemas.openxmlformats.org/spreadsheetml/2006/main" count="112" uniqueCount="85">
  <si>
    <t>1ヶ月</t>
  </si>
  <si>
    <t>従量制</t>
  </si>
  <si>
    <t>2ヶ月</t>
  </si>
  <si>
    <t>人数制（1人世帯）</t>
  </si>
  <si>
    <t>人数制（2人世帯）</t>
  </si>
  <si>
    <t>人数制（4人世帯）</t>
  </si>
  <si>
    <t>計  算  条  件</t>
  </si>
  <si>
    <t>人数制（5人世帯）</t>
  </si>
  <si>
    <t>人数制（6人世帯）</t>
  </si>
  <si>
    <t>人数制（7人以上の世帯）</t>
  </si>
  <si>
    <t>使用月数</t>
  </si>
  <si>
    <t>計  算  結  果</t>
  </si>
  <si>
    <t>基本料金</t>
  </si>
  <si>
    <t>ヶ月</t>
  </si>
  <si>
    <t>（消費税込）</t>
  </si>
  <si>
    <t>超過料金</t>
  </si>
  <si>
    <t>51～100㎥</t>
  </si>
  <si>
    <t>101～200㎥</t>
  </si>
  <si>
    <t>201～500㎥</t>
  </si>
  <si>
    <t>501㎥～</t>
  </si>
  <si>
    <t>人</t>
  </si>
  <si>
    <t>下水排出量（1ヶ月）が</t>
  </si>
  <si>
    <t>㎥の場合の下水道使用料は</t>
  </si>
  <si>
    <t>(消費税込）</t>
  </si>
  <si>
    <t>下水排出量（2ヶ月）が</t>
  </si>
  <si>
    <t>世帯区分</t>
  </si>
  <si>
    <t>使用料</t>
  </si>
  <si>
    <t>1人世帯</t>
  </si>
  <si>
    <t>2人世帯</t>
  </si>
  <si>
    <t>3人世帯</t>
  </si>
  <si>
    <t>4人世帯</t>
  </si>
  <si>
    <t>5人世帯</t>
  </si>
  <si>
    <t>6人世帯</t>
  </si>
  <si>
    <t>7人以上の世帯</t>
  </si>
  <si>
    <t>←計算結果</t>
  </si>
  <si>
    <t>人数制</t>
  </si>
  <si>
    <t>従量制</t>
  </si>
  <si>
    <t>円</t>
  </si>
  <si>
    <t>★従量制下水道使用料</t>
  </si>
  <si>
    <t>下水道使用料計算方法</t>
  </si>
  <si>
    <t>使用水量（㎥）</t>
  </si>
  <si>
    <t>1か月</t>
  </si>
  <si>
    <t>2か月</t>
  </si>
  <si>
    <t>人数制（3人世帯）</t>
  </si>
  <si>
    <t>１か月</t>
  </si>
  <si>
    <t>２か月</t>
  </si>
  <si>
    <t>下水道使用料（従量制・1ヶ月）</t>
  </si>
  <si>
    <t>～8㎥</t>
  </si>
  <si>
    <t>9～16㎥</t>
  </si>
  <si>
    <t>17～25㎥</t>
  </si>
  <si>
    <t>26～50㎥</t>
  </si>
  <si>
    <r>
      <t>下水道使用料（人数制）</t>
    </r>
    <r>
      <rPr>
        <b/>
        <sz val="12"/>
        <rFont val="ＭＳ Ｐゴシック"/>
        <family val="3"/>
      </rPr>
      <t>　(消費税込）</t>
    </r>
  </si>
  <si>
    <t>②</t>
  </si>
  <si>
    <t>（２）①、②のそれぞれの汚水量での料金を計算し、足し算します。</t>
  </si>
  <si>
    <t>①の料金</t>
  </si>
  <si>
    <t>計算の区分</t>
  </si>
  <si>
    <t>単価（円）</t>
  </si>
  <si>
    <t>汚水量（㎥）</t>
  </si>
  <si>
    <t>基本料金</t>
  </si>
  <si>
    <t>超過料金</t>
  </si>
  <si>
    <t>合計</t>
  </si>
  <si>
    <t>↓</t>
  </si>
  <si>
    <t>②の料金</t>
  </si>
  <si>
    <t>①＋②＝</t>
  </si>
  <si>
    <t>斐川地域を除く全域</t>
  </si>
  <si>
    <t>斐川地域</t>
  </si>
  <si>
    <t>出雲市全域</t>
  </si>
  <si>
    <t>　８㎥</t>
  </si>
  <si>
    <t>　９㎥～１６㎥</t>
  </si>
  <si>
    <t>　１７㎥～２５㎥</t>
  </si>
  <si>
    <t>　２６㎥～５０㎥</t>
  </si>
  <si>
    <t>　５１㎥～１００㎥</t>
  </si>
  <si>
    <t>　１０１㎥～２００㎥</t>
  </si>
  <si>
    <t>　２０１㎥～５００㎥</t>
  </si>
  <si>
    <t>　５０１㎥～</t>
  </si>
  <si>
    <t>２か月で使用した場合の下水道使用料の計算方法は、下記のとおりです。</t>
  </si>
  <si>
    <t>（１）まずは2か月の汚水量を１か月ずつに分けます。</t>
  </si>
  <si>
    <t>（１円未満切捨て）</t>
  </si>
  <si>
    <t>金額（円）</t>
  </si>
  <si>
    <t>よって、２か月の使用料は下記のとおりとなります。</t>
  </si>
  <si>
    <t>←選択式</t>
  </si>
  <si>
    <t>　↓下記の欄を入力してください。</t>
  </si>
  <si>
    <t>下水道使用料の計算方法について</t>
  </si>
  <si>
    <t>⇒　　　　　　①</t>
  </si>
  <si>
    <t xml:space="preserve">●下水道使用料は基本使用料（汚水量８㎥／月を含む）と汚水量９㎥以上の超過料金の合計額で計算します。超過料金は、１㎥あたりの料金単価が異なります。
●通常、２か月分ごとに使用料を請求します。例えば２か月で４１㎥使用の場合は、２１㎥と２０㎥でそれぞれ使用料を計算（１円未満切り捨て）し、合計します。
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</si>
</sst>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#&quot;㎥&quot;"/>
    <numFmt numFmtId="178" formatCode="0,000&quot;㎥&quot;"/>
    <numFmt numFmtId="179" formatCode="0&quot;㎥&quot;"/>
    <numFmt numFmtId="180" formatCode="#,##0.0;[Red]\-#,##0.0"/>
    <numFmt numFmtId="181" formatCode="#,##0.0&quot;円&quot;"/>
    <numFmt numFmtId="182" formatCode="#,##0&quot;円&quot;"/>
    <numFmt numFmtId="183" formatCode="#,##0.00&quot;円&quot;"/>
    <numFmt numFmtId="184" formatCode="0.0"/>
    <numFmt numFmtId="185" formatCode="#,##0&quot;㎥&quot;"/>
    <numFmt numFmtId="186" formatCode="0&quot;倍&quot;"/>
    <numFmt numFmtId="187" formatCode="0&quot;m3×4&quot;"/>
    <numFmt numFmtId="188" formatCode="&quot;(&quot;0&quot;m3×4)&quot;"/>
    <numFmt numFmtId="189" formatCode="&quot;( &quot;0&quot;m3×4 )&quot;"/>
    <numFmt numFmtId="190" formatCode="&quot;( &quot;0&quot;㎥×4 )&quot;"/>
    <numFmt numFmtId="191" formatCode="[$-411]ggge&quot;年&quot;m&quot;月&quot;d&quot;日&quot;;@"/>
    <numFmt numFmtId="192" formatCode="0_ "/>
    <numFmt numFmtId="193" formatCode="#,###,###&quot;円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);\(0\)"/>
    <numFmt numFmtId="199" formatCode="0;[Red]0"/>
    <numFmt numFmtId="200" formatCode="\(#,###\)"/>
    <numFmt numFmtId="201" formatCode="0.0_ "/>
    <numFmt numFmtId="202" formatCode="#,##0.000;[Red]\-#,##0.000"/>
    <numFmt numFmtId="203" formatCode="#,##0.0000;[Red]\-#,##0.0000"/>
    <numFmt numFmtId="204" formatCode="#,##0.00000;[Red]\-#,##0.00000"/>
    <numFmt numFmtId="205" formatCode="#,##0.000000;[Red]\-#,##0.000000"/>
    <numFmt numFmtId="206" formatCode="#,##0_ "/>
    <numFmt numFmtId="207" formatCode="#,###,##0&quot;円&quot;"/>
    <numFmt numFmtId="208" formatCode="#,###.0&quot;円&quot;"/>
    <numFmt numFmtId="209" formatCode="#,##0.0_ ;[Red]\-#,##0.0\ "/>
    <numFmt numFmtId="210" formatCode="0.00_);[Red]\(0.00\)"/>
    <numFmt numFmtId="211" formatCode="#,##0_);[Red]\(#,##0\)"/>
    <numFmt numFmtId="212" formatCode="0.00_ "/>
    <numFmt numFmtId="213" formatCode="#,##0.000&quot;円&quot;"/>
    <numFmt numFmtId="214" formatCode="\(#\)"/>
    <numFmt numFmtId="215" formatCode="0.000_);[Red]\(0.000\)"/>
    <numFmt numFmtId="216" formatCode="[&lt;=999]000;[&lt;=99999]000\-00;000\-0000"/>
    <numFmt numFmtId="217" formatCode="#,##0;[Red]#,##0"/>
    <numFmt numFmtId="218" formatCode="#,##0.0"/>
    <numFmt numFmtId="219" formatCode="#,##0;&quot;▲ &quot;#,##0"/>
    <numFmt numFmtId="220" formatCode="#,##0.00_);[Red]\(#,##0.00\)"/>
    <numFmt numFmtId="221" formatCode="#,##0.00_ "/>
    <numFmt numFmtId="222" formatCode="#,##0.0;&quot;▲ &quot;#,##0.0"/>
    <numFmt numFmtId="223" formatCode="#,##0.00;&quot;▲ &quot;#,##0.00"/>
    <numFmt numFmtId="224" formatCode="#,##0.0_);[Red]\(#,##0.0\)"/>
    <numFmt numFmtId="225" formatCode="#,##0.0_ "/>
    <numFmt numFmtId="226" formatCode="#,##0_ ;[Red]\-#,##0\ "/>
    <numFmt numFmtId="227" formatCode="m/d"/>
    <numFmt numFmtId="228" formatCode="#,###,##0&quot;㎥&quot;"/>
    <numFmt numFmtId="229" formatCode="_(* #,##0_);_(* \(#,##0\);_(* &quot;-&quot;_);_(@_)"/>
    <numFmt numFmtId="230" formatCode="#,###,###&quot;水栓&quot;"/>
    <numFmt numFmtId="231" formatCode="#,##0.000"/>
    <numFmt numFmtId="232" formatCode="#,##0.0000"/>
  </numFmts>
  <fonts count="66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color indexed="20"/>
      <name val="HG丸ｺﾞｼｯｸM-PRO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b/>
      <sz val="12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name val="ＭＳ Ｐゴシック"/>
      <family val="3"/>
    </font>
    <font>
      <sz val="14"/>
      <color indexed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50"/>
      <name val="ＭＳ Ｐゴシック"/>
      <family val="3"/>
    </font>
    <font>
      <sz val="9"/>
      <name val="Meiryo UI"/>
      <family val="3"/>
    </font>
    <font>
      <b/>
      <sz val="28"/>
      <color indexed="57"/>
      <name val="HG丸ｺﾞｼｯｸM-PRO"/>
      <family val="3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indexed="8"/>
      <name val="Calibri"/>
      <family val="3"/>
    </font>
    <font>
      <b/>
      <sz val="12"/>
      <color indexed="8"/>
      <name val="Cambria"/>
      <family val="3"/>
    </font>
    <font>
      <b/>
      <sz val="14"/>
      <color indexed="8"/>
      <name val="Calibri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92D05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29" fontId="19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15" xfId="49" applyFill="1" applyBorder="1" applyAlignment="1">
      <alignment vertical="center"/>
    </xf>
    <xf numFmtId="1" fontId="6" fillId="34" borderId="15" xfId="0" applyNumberFormat="1" applyFont="1" applyFill="1" applyBorder="1" applyAlignment="1">
      <alignment vertical="center"/>
    </xf>
    <xf numFmtId="176" fontId="6" fillId="34" borderId="15" xfId="0" applyNumberFormat="1" applyFont="1" applyFill="1" applyBorder="1" applyAlignment="1">
      <alignment horizontal="center" vertical="center"/>
    </xf>
    <xf numFmtId="38" fontId="6" fillId="35" borderId="15" xfId="49" applyFont="1" applyFill="1" applyBorder="1" applyAlignment="1" applyProtection="1">
      <alignment horizontal="right" vertical="center"/>
      <protection/>
    </xf>
    <xf numFmtId="176" fontId="6" fillId="35" borderId="15" xfId="0" applyNumberFormat="1" applyFont="1" applyFill="1" applyBorder="1" applyAlignment="1">
      <alignment horizontal="center" vertical="center"/>
    </xf>
    <xf numFmtId="182" fontId="6" fillId="36" borderId="10" xfId="49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212" fontId="0" fillId="0" borderId="21" xfId="0" applyNumberFormat="1" applyBorder="1" applyAlignment="1">
      <alignment vertical="center"/>
    </xf>
    <xf numFmtId="38" fontId="0" fillId="35" borderId="15" xfId="49" applyFill="1" applyBorder="1" applyAlignment="1">
      <alignment vertical="center"/>
    </xf>
    <xf numFmtId="38" fontId="0" fillId="0" borderId="15" xfId="49" applyBorder="1" applyAlignment="1">
      <alignment vertical="center"/>
    </xf>
    <xf numFmtId="0" fontId="6" fillId="37" borderId="25" xfId="0" applyFont="1" applyFill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221" fontId="13" fillId="0" borderId="28" xfId="0" applyNumberFormat="1" applyFont="1" applyBorder="1" applyAlignment="1">
      <alignment horizontal="right" vertical="center" shrinkToFit="1"/>
    </xf>
    <xf numFmtId="4" fontId="13" fillId="0" borderId="28" xfId="0" applyNumberFormat="1" applyFont="1" applyBorder="1" applyAlignment="1">
      <alignment horizontal="right" vertical="center" shrinkToFit="1"/>
    </xf>
    <xf numFmtId="221" fontId="13" fillId="0" borderId="29" xfId="0" applyNumberFormat="1" applyFont="1" applyBorder="1" applyAlignment="1">
      <alignment horizontal="right" vertical="center" wrapText="1"/>
    </xf>
    <xf numFmtId="221" fontId="6" fillId="36" borderId="10" xfId="0" applyNumberFormat="1" applyFont="1" applyFill="1" applyBorder="1" applyAlignment="1">
      <alignment vertical="center"/>
    </xf>
    <xf numFmtId="220" fontId="0" fillId="0" borderId="0" xfId="49" applyNumberFormat="1" applyBorder="1" applyAlignment="1">
      <alignment vertical="center"/>
    </xf>
    <xf numFmtId="220" fontId="0" fillId="0" borderId="0" xfId="0" applyNumberFormat="1" applyBorder="1" applyAlignment="1">
      <alignment vertical="center"/>
    </xf>
    <xf numFmtId="220" fontId="0" fillId="0" borderId="19" xfId="0" applyNumberFormat="1" applyBorder="1" applyAlignment="1">
      <alignment vertical="center"/>
    </xf>
    <xf numFmtId="220" fontId="0" fillId="0" borderId="17" xfId="49" applyNumberFormat="1" applyBorder="1" applyAlignment="1">
      <alignment vertical="center"/>
    </xf>
    <xf numFmtId="220" fontId="0" fillId="0" borderId="17" xfId="0" applyNumberFormat="1" applyBorder="1" applyAlignment="1">
      <alignment vertical="center"/>
    </xf>
    <xf numFmtId="220" fontId="0" fillId="0" borderId="30" xfId="0" applyNumberFormat="1" applyBorder="1" applyAlignment="1">
      <alignment vertical="center"/>
    </xf>
    <xf numFmtId="206" fontId="13" fillId="0" borderId="0" xfId="0" applyNumberFormat="1" applyFont="1" applyAlignment="1">
      <alignment/>
    </xf>
    <xf numFmtId="206" fontId="17" fillId="0" borderId="10" xfId="0" applyNumberFormat="1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228" fontId="13" fillId="34" borderId="15" xfId="0" applyNumberFormat="1" applyFont="1" applyFill="1" applyBorder="1" applyAlignment="1">
      <alignment horizontal="center" vertical="center" wrapText="1"/>
    </xf>
    <xf numFmtId="228" fontId="13" fillId="0" borderId="15" xfId="0" applyNumberFormat="1" applyFont="1" applyBorder="1" applyAlignment="1">
      <alignment horizontal="center" vertical="center" wrapText="1"/>
    </xf>
    <xf numFmtId="3" fontId="62" fillId="0" borderId="0" xfId="0" applyNumberFormat="1" applyFont="1" applyBorder="1" applyAlignment="1">
      <alignment horizontal="right" vertical="center" shrinkToFit="1"/>
    </xf>
    <xf numFmtId="0" fontId="62" fillId="0" borderId="0" xfId="0" applyFont="1" applyBorder="1" applyAlignment="1">
      <alignment/>
    </xf>
    <xf numFmtId="0" fontId="13" fillId="0" borderId="19" xfId="0" applyFont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right" vertical="center" wrapText="1"/>
    </xf>
    <xf numFmtId="0" fontId="13" fillId="0" borderId="32" xfId="0" applyFont="1" applyBorder="1" applyAlignment="1">
      <alignment vertical="center" wrapText="1"/>
    </xf>
    <xf numFmtId="0" fontId="13" fillId="0" borderId="32" xfId="0" applyFont="1" applyBorder="1" applyAlignment="1">
      <alignment/>
    </xf>
    <xf numFmtId="0" fontId="13" fillId="0" borderId="25" xfId="0" applyNumberFormat="1" applyFont="1" applyBorder="1" applyAlignment="1">
      <alignment vertical="center" wrapText="1"/>
    </xf>
    <xf numFmtId="221" fontId="13" fillId="0" borderId="33" xfId="0" applyNumberFormat="1" applyFont="1" applyBorder="1" applyAlignment="1">
      <alignment horizontal="right" vertical="center" shrinkToFit="1"/>
    </xf>
    <xf numFmtId="221" fontId="13" fillId="0" borderId="34" xfId="0" applyNumberFormat="1" applyFont="1" applyBorder="1" applyAlignment="1">
      <alignment horizontal="right" vertical="center" shrinkToFit="1"/>
    </xf>
    <xf numFmtId="0" fontId="13" fillId="0" borderId="35" xfId="0" applyFont="1" applyBorder="1" applyAlignment="1">
      <alignment horizontal="left" vertical="center" wrapText="1"/>
    </xf>
    <xf numFmtId="221" fontId="13" fillId="0" borderId="36" xfId="0" applyNumberFormat="1" applyFont="1" applyBorder="1" applyAlignment="1">
      <alignment horizontal="right" vertical="center" wrapText="1"/>
    </xf>
    <xf numFmtId="206" fontId="17" fillId="0" borderId="37" xfId="0" applyNumberFormat="1" applyFont="1" applyBorder="1" applyAlignment="1">
      <alignment/>
    </xf>
    <xf numFmtId="221" fontId="13" fillId="0" borderId="38" xfId="0" applyNumberFormat="1" applyFont="1" applyBorder="1" applyAlignment="1">
      <alignment horizontal="right" vertical="center" shrinkToFit="1"/>
    </xf>
    <xf numFmtId="4" fontId="13" fillId="0" borderId="39" xfId="0" applyNumberFormat="1" applyFont="1" applyBorder="1" applyAlignment="1">
      <alignment horizontal="right" vertical="center" shrinkToFit="1"/>
    </xf>
    <xf numFmtId="4" fontId="13" fillId="0" borderId="34" xfId="0" applyNumberFormat="1" applyFont="1" applyBorder="1" applyAlignment="1">
      <alignment horizontal="right" vertical="center" shrinkToFit="1"/>
    </xf>
    <xf numFmtId="4" fontId="13" fillId="0" borderId="38" xfId="0" applyNumberFormat="1" applyFont="1" applyBorder="1" applyAlignment="1">
      <alignment horizontal="right" vertical="center" shrinkToFit="1"/>
    </xf>
    <xf numFmtId="206" fontId="62" fillId="38" borderId="40" xfId="0" applyNumberFormat="1" applyFont="1" applyFill="1" applyBorder="1" applyAlignment="1">
      <alignment horizontal="right" vertical="center" shrinkToFit="1"/>
    </xf>
    <xf numFmtId="0" fontId="14" fillId="38" borderId="41" xfId="0" applyFont="1" applyFill="1" applyBorder="1" applyAlignment="1">
      <alignment horizontal="left" vertical="center" wrapText="1"/>
    </xf>
    <xf numFmtId="0" fontId="0" fillId="39" borderId="0" xfId="0" applyFill="1" applyAlignment="1">
      <alignment vertical="center"/>
    </xf>
    <xf numFmtId="0" fontId="5" fillId="39" borderId="0" xfId="0" applyFont="1" applyFill="1" applyAlignment="1">
      <alignment vertical="center"/>
    </xf>
    <xf numFmtId="0" fontId="6" fillId="39" borderId="0" xfId="0" applyFont="1" applyFill="1" applyAlignment="1">
      <alignment vertical="center"/>
    </xf>
    <xf numFmtId="0" fontId="11" fillId="39" borderId="0" xfId="0" applyFont="1" applyFill="1" applyAlignment="1">
      <alignment vertical="center"/>
    </xf>
    <xf numFmtId="0" fontId="12" fillId="39" borderId="0" xfId="0" applyFont="1" applyFill="1" applyAlignment="1">
      <alignment vertical="center"/>
    </xf>
    <xf numFmtId="0" fontId="0" fillId="39" borderId="0" xfId="0" applyFont="1" applyFill="1" applyAlignment="1">
      <alignment vertical="center"/>
    </xf>
    <xf numFmtId="0" fontId="6" fillId="39" borderId="0" xfId="0" applyFont="1" applyFill="1" applyBorder="1" applyAlignment="1">
      <alignment vertical="center"/>
    </xf>
    <xf numFmtId="38" fontId="6" fillId="39" borderId="0" xfId="0" applyNumberFormat="1" applyFont="1" applyFill="1" applyAlignment="1">
      <alignment vertical="center"/>
    </xf>
    <xf numFmtId="0" fontId="6" fillId="39" borderId="0" xfId="0" applyFont="1" applyFill="1" applyBorder="1" applyAlignment="1">
      <alignment horizontal="center" vertical="center"/>
    </xf>
    <xf numFmtId="182" fontId="6" fillId="39" borderId="0" xfId="0" applyNumberFormat="1" applyFont="1" applyFill="1" applyBorder="1" applyAlignment="1">
      <alignment vertical="center"/>
    </xf>
    <xf numFmtId="0" fontId="15" fillId="39" borderId="0" xfId="0" applyFont="1" applyFill="1" applyAlignment="1">
      <alignment vertical="center" wrapText="1"/>
    </xf>
    <xf numFmtId="0" fontId="16" fillId="39" borderId="0" xfId="0" applyFont="1" applyFill="1" applyAlignment="1">
      <alignment vertical="center"/>
    </xf>
    <xf numFmtId="0" fontId="16" fillId="39" borderId="0" xfId="0" applyFont="1" applyFill="1" applyAlignment="1">
      <alignment vertical="top"/>
    </xf>
    <xf numFmtId="0" fontId="0" fillId="39" borderId="0" xfId="0" applyFill="1" applyAlignment="1">
      <alignment vertical="top"/>
    </xf>
    <xf numFmtId="0" fontId="0" fillId="39" borderId="0" xfId="0" applyFill="1" applyAlignment="1">
      <alignment/>
    </xf>
    <xf numFmtId="0" fontId="0" fillId="39" borderId="10" xfId="0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 shrinkToFit="1"/>
    </xf>
    <xf numFmtId="0" fontId="63" fillId="39" borderId="0" xfId="0" applyFont="1" applyFill="1" applyAlignment="1">
      <alignment vertical="center"/>
    </xf>
    <xf numFmtId="0" fontId="64" fillId="39" borderId="0" xfId="0" applyFont="1" applyFill="1" applyAlignment="1">
      <alignment vertical="center"/>
    </xf>
    <xf numFmtId="182" fontId="6" fillId="40" borderId="10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39" borderId="42" xfId="0" applyFont="1" applyFill="1" applyBorder="1" applyAlignment="1">
      <alignment horizontal="center" vertical="center"/>
    </xf>
    <xf numFmtId="185" fontId="0" fillId="39" borderId="0" xfId="0" applyNumberFormat="1" applyFill="1" applyAlignment="1">
      <alignment vertical="center"/>
    </xf>
    <xf numFmtId="0" fontId="13" fillId="0" borderId="43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6" fillId="39" borderId="43" xfId="0" applyFont="1" applyFill="1" applyBorder="1" applyAlignment="1">
      <alignment horizontal="center" vertical="center"/>
    </xf>
    <xf numFmtId="0" fontId="6" fillId="39" borderId="44" xfId="0" applyFont="1" applyFill="1" applyBorder="1" applyAlignment="1">
      <alignment horizontal="center" vertical="center"/>
    </xf>
    <xf numFmtId="0" fontId="6" fillId="39" borderId="45" xfId="0" applyFont="1" applyFill="1" applyBorder="1" applyAlignment="1">
      <alignment horizontal="center" vertical="center"/>
    </xf>
    <xf numFmtId="185" fontId="6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42" xfId="0" applyFont="1" applyFill="1" applyBorder="1" applyAlignment="1" applyProtection="1">
      <alignment horizontal="center" vertical="center"/>
      <protection locked="0"/>
    </xf>
    <xf numFmtId="0" fontId="6" fillId="37" borderId="46" xfId="0" applyFont="1" applyFill="1" applyBorder="1" applyAlignment="1">
      <alignment horizontal="center" vertical="center"/>
    </xf>
    <xf numFmtId="0" fontId="6" fillId="37" borderId="47" xfId="0" applyFont="1" applyFill="1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/>
    </xf>
    <xf numFmtId="0" fontId="6" fillId="37" borderId="4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42" xfId="0" applyFont="1" applyFill="1" applyBorder="1" applyAlignment="1">
      <alignment horizontal="center" vertical="distributed"/>
    </xf>
    <xf numFmtId="0" fontId="6" fillId="37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6" fillId="37" borderId="43" xfId="0" applyFont="1" applyFill="1" applyBorder="1" applyAlignment="1" applyProtection="1">
      <alignment horizontal="center" vertical="center"/>
      <protection locked="0"/>
    </xf>
    <xf numFmtId="0" fontId="6" fillId="37" borderId="4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/>
    </xf>
    <xf numFmtId="0" fontId="6" fillId="37" borderId="43" xfId="0" applyFont="1" applyFill="1" applyBorder="1" applyAlignment="1">
      <alignment vertical="center"/>
    </xf>
    <xf numFmtId="0" fontId="6" fillId="37" borderId="45" xfId="0" applyFont="1" applyFill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221" fontId="6" fillId="36" borderId="10" xfId="0" applyNumberFormat="1" applyFont="1" applyFill="1" applyBorder="1" applyAlignment="1">
      <alignment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57150</xdr:rowOff>
    </xdr:from>
    <xdr:ext cx="4695825" cy="571500"/>
    <xdr:sp>
      <xdr:nvSpPr>
        <xdr:cNvPr id="1" name="正方形/長方形 1"/>
        <xdr:cNvSpPr>
          <a:spLocks/>
        </xdr:cNvSpPr>
      </xdr:nvSpPr>
      <xdr:spPr>
        <a:xfrm>
          <a:off x="85725" y="57150"/>
          <a:ext cx="4695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9966"/>
              </a:solidFill>
            </a:rPr>
            <a:t>下水道使用料計算シート</a:t>
          </a:r>
        </a:p>
      </xdr:txBody>
    </xdr:sp>
    <xdr:clientData/>
  </xdr:oneCellAnchor>
  <xdr:twoCellAnchor>
    <xdr:from>
      <xdr:col>4</xdr:col>
      <xdr:colOff>933450</xdr:colOff>
      <xdr:row>0</xdr:row>
      <xdr:rowOff>95250</xdr:rowOff>
    </xdr:from>
    <xdr:to>
      <xdr:col>6</xdr:col>
      <xdr:colOff>495300</xdr:colOff>
      <xdr:row>3</xdr:row>
      <xdr:rowOff>219075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029200" y="95250"/>
          <a:ext cx="1676400" cy="6953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現行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８％改定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消費税１０％込み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66675</xdr:rowOff>
    </xdr:from>
    <xdr:to>
      <xdr:col>7</xdr:col>
      <xdr:colOff>723900</xdr:colOff>
      <xdr:row>0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29175" y="66675"/>
          <a:ext cx="1895475" cy="3143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消費税１０％込み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F52"/>
  <sheetViews>
    <sheetView showZeros="0" tabSelected="1" showOutlineSymbols="0" view="pageBreakPreview" zoomScaleNormal="85" zoomScaleSheetLayoutView="100" zoomScalePageLayoutView="0" workbookViewId="0" topLeftCell="A1">
      <selection activeCell="D7" sqref="D7:E7"/>
    </sheetView>
  </sheetViews>
  <sheetFormatPr defaultColWidth="9.00390625" defaultRowHeight="13.5"/>
  <cols>
    <col min="1" max="1" width="6.00390625" style="1" customWidth="1"/>
    <col min="2" max="2" width="18.875" style="1" customWidth="1"/>
    <col min="3" max="3" width="13.375" style="1" customWidth="1"/>
    <col min="4" max="4" width="15.50390625" style="1" customWidth="1"/>
    <col min="5" max="5" width="14.50390625" style="1" customWidth="1"/>
    <col min="6" max="6" width="13.25390625" style="1" customWidth="1"/>
    <col min="7" max="8" width="9.00390625" style="1" customWidth="1"/>
    <col min="9" max="9" width="2.375" style="4" customWidth="1"/>
    <col min="10" max="10" width="2.75390625" style="4" customWidth="1"/>
    <col min="11" max="11" width="9.00390625" style="4" customWidth="1"/>
    <col min="12" max="12" width="11.375" style="4" customWidth="1"/>
    <col min="13" max="17" width="11.50390625" style="4" customWidth="1"/>
    <col min="18" max="19" width="11.50390625" style="1" customWidth="1"/>
    <col min="20" max="21" width="9.00390625" style="1" customWidth="1"/>
    <col min="22" max="22" width="11.875" style="1" customWidth="1"/>
    <col min="23" max="16384" width="9.00390625" style="1" customWidth="1"/>
  </cols>
  <sheetData>
    <row r="1" spans="1:15" ht="13.5">
      <c r="A1" s="103"/>
      <c r="B1" s="103"/>
      <c r="C1" s="103"/>
      <c r="D1" s="103"/>
      <c r="E1" s="103"/>
      <c r="F1" s="103"/>
      <c r="G1" s="103"/>
      <c r="I1" s="1"/>
      <c r="J1" s="1"/>
      <c r="K1" s="3" t="s">
        <v>44</v>
      </c>
      <c r="L1" s="3">
        <f>IF(OR(D8=M1,D8=""),"",MATCH(D8,M2:M8,0))</f>
      </c>
      <c r="M1" s="2" t="s">
        <v>1</v>
      </c>
      <c r="O1" s="4" t="s">
        <v>64</v>
      </c>
    </row>
    <row r="2" spans="1:15" ht="18">
      <c r="A2" s="103"/>
      <c r="B2" s="104"/>
      <c r="C2" s="105"/>
      <c r="D2" s="105"/>
      <c r="E2" s="105"/>
      <c r="F2" s="105"/>
      <c r="G2" s="105"/>
      <c r="H2" s="5"/>
      <c r="I2" s="1"/>
      <c r="J2" s="1"/>
      <c r="K2" s="3" t="s">
        <v>45</v>
      </c>
      <c r="L2" s="6"/>
      <c r="M2" s="2" t="s">
        <v>3</v>
      </c>
      <c r="O2" s="4" t="s">
        <v>65</v>
      </c>
    </row>
    <row r="3" spans="1:13" ht="13.5" customHeight="1">
      <c r="A3" s="103"/>
      <c r="B3" s="105"/>
      <c r="C3" s="105"/>
      <c r="D3" s="105"/>
      <c r="E3" s="105"/>
      <c r="F3" s="105"/>
      <c r="G3" s="105"/>
      <c r="H3" s="5"/>
      <c r="I3" s="1"/>
      <c r="J3" s="1"/>
      <c r="K3" s="7"/>
      <c r="L3" s="7"/>
      <c r="M3" s="2" t="s">
        <v>4</v>
      </c>
    </row>
    <row r="4" spans="1:15" ht="24" customHeight="1">
      <c r="A4" s="103"/>
      <c r="B4" s="105"/>
      <c r="C4" s="105"/>
      <c r="D4" s="105"/>
      <c r="E4" s="105"/>
      <c r="F4" s="105"/>
      <c r="G4" s="105"/>
      <c r="H4" s="5"/>
      <c r="I4" s="1"/>
      <c r="J4" s="1"/>
      <c r="K4" s="7"/>
      <c r="L4" s="7"/>
      <c r="M4" s="2" t="s">
        <v>43</v>
      </c>
      <c r="O4" s="1"/>
    </row>
    <row r="5" spans="1:15" ht="19.5" customHeight="1">
      <c r="A5" s="103"/>
      <c r="B5" s="118" t="s">
        <v>6</v>
      </c>
      <c r="C5" s="121"/>
      <c r="D5" s="127" t="s">
        <v>81</v>
      </c>
      <c r="E5" s="127"/>
      <c r="F5" s="103"/>
      <c r="G5" s="105"/>
      <c r="H5" s="5"/>
      <c r="I5" s="1"/>
      <c r="J5" s="1"/>
      <c r="K5" s="7"/>
      <c r="L5" s="7"/>
      <c r="M5" s="2" t="s">
        <v>5</v>
      </c>
      <c r="O5" s="1"/>
    </row>
    <row r="6" spans="1:15" ht="24.75" customHeight="1">
      <c r="A6" s="103"/>
      <c r="B6" s="137" t="s">
        <v>40</v>
      </c>
      <c r="C6" s="138"/>
      <c r="D6" s="131">
        <v>40</v>
      </c>
      <c r="E6" s="131"/>
      <c r="F6" s="106"/>
      <c r="G6" s="105"/>
      <c r="H6" s="5"/>
      <c r="I6" s="1"/>
      <c r="J6" s="1"/>
      <c r="K6" s="7"/>
      <c r="L6" s="7"/>
      <c r="M6" s="2" t="s">
        <v>7</v>
      </c>
      <c r="O6" s="1"/>
    </row>
    <row r="7" spans="1:15" ht="24.75" customHeight="1">
      <c r="A7" s="103"/>
      <c r="B7" s="139" t="s">
        <v>10</v>
      </c>
      <c r="C7" s="139"/>
      <c r="D7" s="132" t="s">
        <v>45</v>
      </c>
      <c r="E7" s="132"/>
      <c r="F7" s="120" t="s">
        <v>80</v>
      </c>
      <c r="G7" s="105"/>
      <c r="H7" s="5"/>
      <c r="I7" s="1"/>
      <c r="J7" s="1"/>
      <c r="K7" s="7"/>
      <c r="L7" s="7"/>
      <c r="M7" s="2" t="s">
        <v>8</v>
      </c>
      <c r="O7" s="1"/>
    </row>
    <row r="8" spans="1:15" ht="24.75" customHeight="1">
      <c r="A8" s="103"/>
      <c r="B8" s="138" t="s">
        <v>39</v>
      </c>
      <c r="C8" s="145"/>
      <c r="D8" s="143" t="s">
        <v>1</v>
      </c>
      <c r="E8" s="144"/>
      <c r="F8" s="120" t="s">
        <v>80</v>
      </c>
      <c r="G8" s="105"/>
      <c r="H8" s="5"/>
      <c r="M8" s="2" t="s">
        <v>9</v>
      </c>
      <c r="O8" s="1"/>
    </row>
    <row r="9" spans="1:8" ht="23.25" customHeight="1">
      <c r="A9" s="103"/>
      <c r="B9" s="105"/>
      <c r="C9" s="105"/>
      <c r="D9" s="107"/>
      <c r="E9" s="105"/>
      <c r="F9" s="108"/>
      <c r="G9" s="105"/>
      <c r="H9" s="5"/>
    </row>
    <row r="10" spans="1:8" ht="19.5" customHeight="1">
      <c r="A10" s="103"/>
      <c r="B10" s="124" t="s">
        <v>11</v>
      </c>
      <c r="C10" s="123"/>
      <c r="D10" s="125"/>
      <c r="E10" s="103"/>
      <c r="F10" s="105"/>
      <c r="G10" s="105"/>
      <c r="H10" s="5"/>
    </row>
    <row r="11" spans="1:8" ht="19.5" customHeight="1">
      <c r="A11" s="103"/>
      <c r="B11" s="128" t="str">
        <f>"汚水量："&amp;D6&amp;"㎥ 　使用月数："&amp;D7&amp;" 　"&amp;D8</f>
        <v>汚水量：40㎥ 　使用月数：２か月 　従量制</v>
      </c>
      <c r="C11" s="129"/>
      <c r="D11" s="129"/>
      <c r="E11" s="130"/>
      <c r="F11" s="105"/>
      <c r="G11" s="105"/>
      <c r="H11" s="5"/>
    </row>
    <row r="12" spans="1:8" ht="21" customHeight="1">
      <c r="A12" s="103"/>
      <c r="B12" s="151" t="s">
        <v>66</v>
      </c>
      <c r="C12" s="152"/>
      <c r="D12" s="153"/>
      <c r="E12" s="122">
        <f>T30</f>
        <v>7210</v>
      </c>
      <c r="F12" s="110"/>
      <c r="G12" s="105"/>
      <c r="H12" s="5"/>
    </row>
    <row r="13" spans="1:8" ht="21.75" customHeight="1">
      <c r="A13" s="103"/>
      <c r="B13" s="109"/>
      <c r="C13" s="111"/>
      <c r="D13" s="111"/>
      <c r="E13" s="112"/>
      <c r="F13" s="103"/>
      <c r="G13" s="105"/>
      <c r="H13" s="5"/>
    </row>
    <row r="14" spans="1:8" ht="21.75" customHeight="1">
      <c r="A14" s="103"/>
      <c r="B14" s="121"/>
      <c r="C14" s="113"/>
      <c r="D14" s="113"/>
      <c r="E14" s="113"/>
      <c r="F14" s="113"/>
      <c r="G14" s="103"/>
      <c r="H14" s="5"/>
    </row>
    <row r="15" spans="1:32" s="53" customFormat="1" ht="18.75" customHeight="1" thickBot="1">
      <c r="A15" s="103"/>
      <c r="B15" s="113"/>
      <c r="C15" s="113"/>
      <c r="D15" s="113"/>
      <c r="E15" s="113"/>
      <c r="F15" s="113"/>
      <c r="G15" s="10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12" ht="18.75" customHeight="1" thickBot="1">
      <c r="A16" s="103"/>
      <c r="B16" s="103"/>
      <c r="C16" s="103"/>
      <c r="D16" s="103"/>
      <c r="E16" s="103"/>
      <c r="F16" s="103"/>
      <c r="G16" s="103"/>
      <c r="I16" s="154" t="s">
        <v>66</v>
      </c>
      <c r="J16" s="155"/>
      <c r="K16" s="155"/>
      <c r="L16" s="156"/>
    </row>
    <row r="17" spans="1:22" ht="18.75" customHeight="1">
      <c r="A17" s="103"/>
      <c r="B17" s="103"/>
      <c r="C17" s="103"/>
      <c r="D17" s="103"/>
      <c r="E17" s="103"/>
      <c r="F17" s="103"/>
      <c r="G17" s="103"/>
      <c r="I17" s="8"/>
      <c r="J17" s="9"/>
      <c r="K17" s="9"/>
      <c r="L17" s="9"/>
      <c r="M17" s="9"/>
      <c r="N17" s="9"/>
      <c r="O17" s="9"/>
      <c r="P17" s="9"/>
      <c r="Q17" s="9"/>
      <c r="R17" s="20"/>
      <c r="S17" s="20"/>
      <c r="T17" s="20"/>
      <c r="U17" s="20"/>
      <c r="V17" s="21"/>
    </row>
    <row r="18" spans="1:22" ht="18.75" customHeight="1">
      <c r="A18" s="103"/>
      <c r="B18" s="103"/>
      <c r="C18" s="103"/>
      <c r="D18" s="103"/>
      <c r="E18" s="103"/>
      <c r="F18" s="103"/>
      <c r="G18" s="103"/>
      <c r="I18" s="10"/>
      <c r="J18" s="22"/>
      <c r="K18" s="40" t="s">
        <v>46</v>
      </c>
      <c r="L18" s="41"/>
      <c r="M18" s="22"/>
      <c r="N18" s="22"/>
      <c r="O18" s="22"/>
      <c r="P18" s="22"/>
      <c r="Q18" s="22"/>
      <c r="R18" s="22" t="s">
        <v>14</v>
      </c>
      <c r="S18" s="22"/>
      <c r="T18" s="22"/>
      <c r="U18" s="22"/>
      <c r="V18" s="24"/>
    </row>
    <row r="19" spans="1:22" ht="18.75" customHeight="1">
      <c r="A19" s="103"/>
      <c r="B19" s="114"/>
      <c r="C19" s="103"/>
      <c r="D19" s="103"/>
      <c r="E19" s="103"/>
      <c r="F19" s="103"/>
      <c r="G19" s="103"/>
      <c r="I19" s="10"/>
      <c r="J19" s="22"/>
      <c r="K19" s="149" t="s">
        <v>12</v>
      </c>
      <c r="L19" s="150"/>
      <c r="M19" s="149" t="s">
        <v>15</v>
      </c>
      <c r="N19" s="149"/>
      <c r="O19" s="149"/>
      <c r="P19" s="149"/>
      <c r="Q19" s="149"/>
      <c r="R19" s="149"/>
      <c r="S19" s="149"/>
      <c r="T19" s="22"/>
      <c r="U19" s="22"/>
      <c r="V19" s="24"/>
    </row>
    <row r="20" spans="1:22" ht="18.75" customHeight="1">
      <c r="A20" s="103"/>
      <c r="B20" s="114"/>
      <c r="C20" s="103"/>
      <c r="D20" s="103"/>
      <c r="E20" s="103"/>
      <c r="F20" s="103"/>
      <c r="G20" s="103"/>
      <c r="I20" s="10"/>
      <c r="J20" s="22"/>
      <c r="K20" s="140" t="s">
        <v>47</v>
      </c>
      <c r="L20" s="140"/>
      <c r="M20" s="49" t="s">
        <v>48</v>
      </c>
      <c r="N20" s="49" t="s">
        <v>49</v>
      </c>
      <c r="O20" s="49" t="s">
        <v>50</v>
      </c>
      <c r="P20" s="49" t="s">
        <v>16</v>
      </c>
      <c r="Q20" s="49" t="s">
        <v>17</v>
      </c>
      <c r="R20" s="49" t="s">
        <v>18</v>
      </c>
      <c r="S20" s="49" t="s">
        <v>19</v>
      </c>
      <c r="T20" s="22"/>
      <c r="U20" s="22"/>
      <c r="V20" s="24"/>
    </row>
    <row r="21" spans="1:22" ht="18.75" customHeight="1">
      <c r="A21" s="103"/>
      <c r="B21" s="114"/>
      <c r="C21" s="103"/>
      <c r="D21" s="103"/>
      <c r="E21" s="103"/>
      <c r="F21" s="103"/>
      <c r="G21" s="103"/>
      <c r="I21" s="10"/>
      <c r="J21" s="22"/>
      <c r="K21" s="157">
        <f>'②下水道料金計算方法'!F13</f>
        <v>1419</v>
      </c>
      <c r="L21" s="157"/>
      <c r="M21" s="70">
        <f>'②下水道料金計算方法'!$D14</f>
        <v>170.5</v>
      </c>
      <c r="N21" s="70">
        <f>'②下水道料金計算方法'!$D15</f>
        <v>205.7</v>
      </c>
      <c r="O21" s="70">
        <f>'②下水道料金計算方法'!$D16</f>
        <v>225.5</v>
      </c>
      <c r="P21" s="70">
        <f>'②下水道料金計算方法'!$D17</f>
        <v>248.6</v>
      </c>
      <c r="Q21" s="70">
        <f>'②下水道料金計算方法'!$D18</f>
        <v>275</v>
      </c>
      <c r="R21" s="70">
        <f>'②下水道料金計算方法'!$D19</f>
        <v>299.2</v>
      </c>
      <c r="S21" s="70">
        <f>'②下水道料金計算方法'!$D20</f>
        <v>327.8</v>
      </c>
      <c r="T21" s="22"/>
      <c r="U21" s="22"/>
      <c r="V21" s="24"/>
    </row>
    <row r="22" spans="1:22" ht="18.75" customHeight="1" thickBot="1">
      <c r="A22" s="103"/>
      <c r="B22" s="114"/>
      <c r="C22" s="103"/>
      <c r="D22" s="103"/>
      <c r="E22" s="103"/>
      <c r="F22" s="103"/>
      <c r="G22" s="103"/>
      <c r="I22" s="10"/>
      <c r="J22" s="15"/>
      <c r="K22" s="16"/>
      <c r="L22" s="16"/>
      <c r="M22" s="17"/>
      <c r="N22" s="17"/>
      <c r="O22" s="16"/>
      <c r="P22" s="18"/>
      <c r="Q22" s="16"/>
      <c r="R22" s="18"/>
      <c r="S22" s="22"/>
      <c r="T22" s="22"/>
      <c r="U22" s="22"/>
      <c r="V22" s="24"/>
    </row>
    <row r="23" spans="1:22" ht="18.75" customHeight="1" thickBot="1">
      <c r="A23" s="103"/>
      <c r="B23" s="114"/>
      <c r="C23" s="103"/>
      <c r="D23" s="103"/>
      <c r="E23" s="103"/>
      <c r="F23" s="103"/>
      <c r="G23" s="103"/>
      <c r="I23" s="10"/>
      <c r="J23" s="22"/>
      <c r="K23" s="19" t="s">
        <v>2</v>
      </c>
      <c r="L23" s="20"/>
      <c r="M23" s="20"/>
      <c r="N23" s="21"/>
      <c r="O23" s="22"/>
      <c r="P23" s="19" t="s">
        <v>0</v>
      </c>
      <c r="Q23" s="21"/>
      <c r="R23" s="22"/>
      <c r="S23" s="22"/>
      <c r="T23" s="13">
        <f>IF(D7="","",VALUE(MID(D7,1,1)))</f>
        <v>2</v>
      </c>
      <c r="U23" s="22" t="s">
        <v>13</v>
      </c>
      <c r="V23" s="24"/>
    </row>
    <row r="24" spans="1:22" ht="18.75" customHeight="1" thickBot="1">
      <c r="A24" s="103"/>
      <c r="B24" s="115"/>
      <c r="C24" s="116"/>
      <c r="D24" s="116"/>
      <c r="E24" s="116"/>
      <c r="F24" s="116"/>
      <c r="G24" s="116"/>
      <c r="I24" s="10"/>
      <c r="J24" s="22"/>
      <c r="K24" s="50">
        <f>D6</f>
        <v>40</v>
      </c>
      <c r="L24" s="32"/>
      <c r="M24" s="47">
        <f>IF(M38="","",ROUNDDOWN(L34,0)+ROUNDDOWN(N34,0))</f>
        <v>7210</v>
      </c>
      <c r="N24" s="33"/>
      <c r="O24" s="32"/>
      <c r="P24" s="50">
        <f>D6</f>
        <v>40</v>
      </c>
      <c r="Q24" s="47">
        <f>IF(M37="","",ROUNDDOWN(Q34,0))</f>
        <v>8016</v>
      </c>
      <c r="R24" s="22"/>
      <c r="S24" s="22"/>
      <c r="T24" s="22" t="s">
        <v>36</v>
      </c>
      <c r="U24" s="22"/>
      <c r="V24" s="24"/>
    </row>
    <row r="25" spans="1:22" ht="18.75" customHeight="1" thickBot="1">
      <c r="A25" s="103"/>
      <c r="B25" s="116"/>
      <c r="C25" s="116"/>
      <c r="D25" s="116"/>
      <c r="E25" s="116"/>
      <c r="F25" s="116"/>
      <c r="G25" s="116"/>
      <c r="I25" s="10"/>
      <c r="J25" s="22"/>
      <c r="K25" s="51">
        <f>ROUNDUP(K24/2,0)</f>
        <v>20</v>
      </c>
      <c r="L25" s="52"/>
      <c r="M25" s="52">
        <f>K24-K25</f>
        <v>20</v>
      </c>
      <c r="N25" s="33"/>
      <c r="O25" s="32"/>
      <c r="P25" s="34"/>
      <c r="Q25" s="33"/>
      <c r="R25" s="22"/>
      <c r="S25" s="22"/>
      <c r="T25" s="23">
        <f>IF(T23=2,M24,IF(T23=1,Q24,""))</f>
        <v>7210</v>
      </c>
      <c r="U25" s="22" t="s">
        <v>37</v>
      </c>
      <c r="V25" s="24"/>
    </row>
    <row r="26" spans="1:22" ht="18.75" customHeight="1" thickBot="1">
      <c r="A26" s="103"/>
      <c r="B26" s="116"/>
      <c r="C26" s="116"/>
      <c r="D26" s="116"/>
      <c r="E26" s="116"/>
      <c r="F26" s="116"/>
      <c r="G26" s="116"/>
      <c r="I26" s="10"/>
      <c r="J26" s="22"/>
      <c r="K26" s="34">
        <f>IF(K25&lt;=8,K25,8)</f>
        <v>8</v>
      </c>
      <c r="L26" s="71">
        <f>IF(K25="",0,K21)</f>
        <v>1419</v>
      </c>
      <c r="M26" s="32">
        <f>IF(M25&lt;=8,M25,8)</f>
        <v>8</v>
      </c>
      <c r="N26" s="74">
        <f>IF(M25="",0,K21)</f>
        <v>1419</v>
      </c>
      <c r="O26" s="32"/>
      <c r="P26" s="34">
        <f>IF(P24="","",IF(P24&lt;=8,P24,8))</f>
        <v>8</v>
      </c>
      <c r="Q26" s="74">
        <f>IF(P26="","",K21)</f>
        <v>1419</v>
      </c>
      <c r="R26" s="25"/>
      <c r="S26" s="22"/>
      <c r="T26" s="22" t="s">
        <v>35</v>
      </c>
      <c r="U26" s="22"/>
      <c r="V26" s="24"/>
    </row>
    <row r="27" spans="1:22" ht="18.75" customHeight="1" thickBot="1">
      <c r="A27" s="103"/>
      <c r="B27" s="115"/>
      <c r="C27" s="116"/>
      <c r="D27" s="116"/>
      <c r="E27" s="116"/>
      <c r="F27" s="116"/>
      <c r="G27" s="116"/>
      <c r="I27" s="10"/>
      <c r="J27" s="22"/>
      <c r="K27" s="34">
        <f>IF((K25-K26)&lt;=8,K25-K26,8)</f>
        <v>8</v>
      </c>
      <c r="L27" s="71">
        <f>K27*M21</f>
        <v>1364</v>
      </c>
      <c r="M27" s="32">
        <f>IF((M25-M26)&lt;=8,M25-M26,8)</f>
        <v>8</v>
      </c>
      <c r="N27" s="74">
        <f>M27*M21</f>
        <v>1364</v>
      </c>
      <c r="O27" s="32"/>
      <c r="P27" s="34">
        <f>IF((P24-P26)&lt;=8,P24-P26,8)</f>
        <v>8</v>
      </c>
      <c r="Q27" s="75">
        <f>P27*M21</f>
        <v>1364</v>
      </c>
      <c r="R27" s="22"/>
      <c r="S27" s="22"/>
      <c r="T27" s="13">
        <f>IF(OR(D8=M1,D8=""),"",L1)</f>
      </c>
      <c r="U27" s="22" t="s">
        <v>20</v>
      </c>
      <c r="V27" s="24"/>
    </row>
    <row r="28" spans="1:22" ht="18.75" customHeight="1" thickBot="1">
      <c r="A28" s="103"/>
      <c r="B28" s="116"/>
      <c r="C28" s="116"/>
      <c r="D28" s="116"/>
      <c r="E28" s="116"/>
      <c r="F28" s="116"/>
      <c r="G28" s="116"/>
      <c r="I28" s="10"/>
      <c r="J28" s="22"/>
      <c r="K28" s="34">
        <f>IF((K25-SUM(K26:K27))&lt;=9,K25-SUM(K26:K27),9)</f>
        <v>4</v>
      </c>
      <c r="L28" s="71">
        <f>K28*N21</f>
        <v>822.8</v>
      </c>
      <c r="M28" s="32">
        <f>IF((M25-SUM(M26:M27))&lt;=9,M25-SUM(M26:M27),9)</f>
        <v>4</v>
      </c>
      <c r="N28" s="74">
        <f>M28*N21</f>
        <v>822.8</v>
      </c>
      <c r="O28" s="32"/>
      <c r="P28" s="34">
        <f>IF(P24-SUM(P26:P27)&lt;=9,P24-SUM(P26:P27),9)</f>
        <v>9</v>
      </c>
      <c r="Q28" s="75">
        <f>P28*N21</f>
        <v>1851.3</v>
      </c>
      <c r="R28" s="25"/>
      <c r="S28" s="22"/>
      <c r="T28" s="26">
        <f>IF(OR(T23="",T27=""),"",INDEX(M44:N50,T27,T23))</f>
      </c>
      <c r="U28" s="22" t="s">
        <v>37</v>
      </c>
      <c r="V28" s="24"/>
    </row>
    <row r="29" spans="1:22" ht="18.75" customHeight="1" thickBot="1">
      <c r="A29" s="103"/>
      <c r="B29" s="116"/>
      <c r="C29" s="116"/>
      <c r="D29" s="116"/>
      <c r="E29" s="116"/>
      <c r="F29" s="116"/>
      <c r="G29" s="116"/>
      <c r="I29" s="10"/>
      <c r="J29" s="22"/>
      <c r="K29" s="34">
        <f>IF(K25-SUM(K26:K28)&lt;=25,K25-SUM(K26:K28),25)</f>
        <v>0</v>
      </c>
      <c r="L29" s="71">
        <f>K29*O21</f>
        <v>0</v>
      </c>
      <c r="M29" s="32">
        <f>IF(M25-SUM(M26:M28)&lt;=25,M25-SUM(M26:M28),25)</f>
        <v>0</v>
      </c>
      <c r="N29" s="74">
        <f>M29*O21</f>
        <v>0</v>
      </c>
      <c r="O29" s="32"/>
      <c r="P29" s="34">
        <f>IF(P24-SUM(P26:P28)&lt;=25,P24-SUM(P26:P28),25)</f>
        <v>15</v>
      </c>
      <c r="Q29" s="75">
        <f>P29*O21</f>
        <v>3382.5</v>
      </c>
      <c r="R29" s="22"/>
      <c r="S29" s="22"/>
      <c r="T29" s="22"/>
      <c r="U29" s="22"/>
      <c r="V29" s="24"/>
    </row>
    <row r="30" spans="1:22" ht="18.75" customHeight="1" thickBot="1">
      <c r="A30" s="103"/>
      <c r="B30" s="117"/>
      <c r="C30" s="117"/>
      <c r="D30" s="117"/>
      <c r="E30" s="117"/>
      <c r="F30" s="117"/>
      <c r="G30" s="117"/>
      <c r="I30" s="10"/>
      <c r="J30" s="22"/>
      <c r="K30" s="34">
        <f>IF(K25-SUM(K26:K29)&lt;=50,K25-SUM(K26:K29),50)</f>
        <v>0</v>
      </c>
      <c r="L30" s="72">
        <f>K30*P21</f>
        <v>0</v>
      </c>
      <c r="M30" s="32">
        <f>IF(M25-SUM(M26:M29)&lt;=50,M25-SUM(M26:M29),50)</f>
        <v>0</v>
      </c>
      <c r="N30" s="75">
        <f>M30*P21</f>
        <v>0</v>
      </c>
      <c r="O30" s="32"/>
      <c r="P30" s="34">
        <f>IF(P24-SUM(P26:P29)&lt;=50,P24-SUM(P26:P29),50)</f>
        <v>0</v>
      </c>
      <c r="Q30" s="75">
        <f>P30*P21</f>
        <v>0</v>
      </c>
      <c r="R30" s="22"/>
      <c r="S30" s="22"/>
      <c r="T30" s="48">
        <f>IF(D8="従量制",T25,T28)</f>
        <v>7210</v>
      </c>
      <c r="U30" s="22" t="s">
        <v>34</v>
      </c>
      <c r="V30" s="24"/>
    </row>
    <row r="31" spans="1:22" ht="18.75" customHeight="1">
      <c r="A31" s="103"/>
      <c r="B31" s="117"/>
      <c r="C31" s="117"/>
      <c r="D31" s="117"/>
      <c r="E31" s="117"/>
      <c r="F31" s="117"/>
      <c r="G31" s="117"/>
      <c r="I31" s="10"/>
      <c r="J31" s="22"/>
      <c r="K31" s="34">
        <f>IF(K25-SUM(K26:K30)&lt;=100,K25-SUM(K26:K30),100)</f>
        <v>0</v>
      </c>
      <c r="L31" s="72">
        <f>K31*Q21</f>
        <v>0</v>
      </c>
      <c r="M31" s="32">
        <f>IF(M25-SUM(M26:M30)&lt;=100,M25-SUM(M26:M30),100)</f>
        <v>0</v>
      </c>
      <c r="N31" s="75">
        <f>M31*Q21</f>
        <v>0</v>
      </c>
      <c r="O31" s="32"/>
      <c r="P31" s="34">
        <f>IF(P24-SUM(P26:P30)&lt;=100,P24-SUM(P26:P30),100)</f>
        <v>0</v>
      </c>
      <c r="Q31" s="75">
        <f>P31*Q21</f>
        <v>0</v>
      </c>
      <c r="R31" s="22"/>
      <c r="S31" s="22"/>
      <c r="T31" s="22"/>
      <c r="V31" s="24"/>
    </row>
    <row r="32" spans="1:22" ht="18.75" customHeight="1">
      <c r="A32" s="103"/>
      <c r="B32" s="103"/>
      <c r="C32" s="103"/>
      <c r="D32" s="103"/>
      <c r="E32" s="103"/>
      <c r="F32" s="103"/>
      <c r="G32" s="103"/>
      <c r="I32" s="10"/>
      <c r="J32" s="22"/>
      <c r="K32" s="34">
        <f>IF(K25-SUM(K26:K31)&lt;=300,K25-SUM(K26:K31),300)</f>
        <v>0</v>
      </c>
      <c r="L32" s="72">
        <f>K32*R21</f>
        <v>0</v>
      </c>
      <c r="M32" s="32">
        <f>IF(M25-SUM(M26:M31)&lt;=300,M25-SUM(M26:M31),300)</f>
        <v>0</v>
      </c>
      <c r="N32" s="75">
        <f>M32*R21</f>
        <v>0</v>
      </c>
      <c r="O32" s="32"/>
      <c r="P32" s="34">
        <f>IF(P24-SUM(P26:P31)&lt;=300,P24-SUM(P26:P31),300)</f>
        <v>0</v>
      </c>
      <c r="Q32" s="75">
        <f>P32*R21</f>
        <v>0</v>
      </c>
      <c r="R32" s="22"/>
      <c r="S32" s="22"/>
      <c r="T32" s="22"/>
      <c r="U32" s="22"/>
      <c r="V32" s="24"/>
    </row>
    <row r="33" spans="1:22" ht="18.75" customHeight="1">
      <c r="A33" s="103"/>
      <c r="B33" s="103"/>
      <c r="C33" s="103"/>
      <c r="D33" s="103"/>
      <c r="E33" s="103"/>
      <c r="F33" s="103"/>
      <c r="G33" s="103"/>
      <c r="I33" s="10"/>
      <c r="J33" s="22"/>
      <c r="K33" s="35">
        <f>K25-SUM(K26:K32)</f>
        <v>0</v>
      </c>
      <c r="L33" s="73">
        <f>K33*S21</f>
        <v>0</v>
      </c>
      <c r="M33" s="36">
        <f>M25-SUM(M26:M32)</f>
        <v>0</v>
      </c>
      <c r="N33" s="76">
        <f>M33*S21</f>
        <v>0</v>
      </c>
      <c r="O33" s="32"/>
      <c r="P33" s="35">
        <f>P24-SUM(P26:P32)</f>
        <v>0</v>
      </c>
      <c r="Q33" s="76">
        <f>P33*S21</f>
        <v>0</v>
      </c>
      <c r="R33" s="22"/>
      <c r="S33" s="22"/>
      <c r="T33" s="22"/>
      <c r="U33" s="22"/>
      <c r="V33" s="24"/>
    </row>
    <row r="34" spans="1:22" ht="18.75" customHeight="1" thickBot="1">
      <c r="A34" s="103"/>
      <c r="B34" s="103"/>
      <c r="C34" s="103"/>
      <c r="D34" s="103"/>
      <c r="E34" s="103"/>
      <c r="F34" s="103"/>
      <c r="G34" s="103"/>
      <c r="I34" s="10"/>
      <c r="J34" s="22"/>
      <c r="K34" s="37">
        <f>SUM(K26:K33)</f>
        <v>20</v>
      </c>
      <c r="L34" s="46">
        <f>SUM(L26:L33)</f>
        <v>3605.8</v>
      </c>
      <c r="M34" s="38">
        <f>SUM(M26:M33)</f>
        <v>20</v>
      </c>
      <c r="N34" s="39">
        <f>SUM(N26:N33)</f>
        <v>3605.8</v>
      </c>
      <c r="O34" s="42"/>
      <c r="P34" s="37">
        <f>SUM(P26:P33)</f>
        <v>40</v>
      </c>
      <c r="Q34" s="39">
        <f>SUM(Q26:Q33)</f>
        <v>8016.8</v>
      </c>
      <c r="R34" s="22"/>
      <c r="S34" s="22"/>
      <c r="T34" s="22"/>
      <c r="U34" s="22"/>
      <c r="V34" s="24"/>
    </row>
    <row r="35" spans="1:22" ht="18.75" customHeight="1">
      <c r="A35" s="103"/>
      <c r="B35" s="103"/>
      <c r="C35" s="103"/>
      <c r="D35" s="103"/>
      <c r="E35" s="103"/>
      <c r="F35" s="103"/>
      <c r="G35" s="103"/>
      <c r="I35" s="10"/>
      <c r="J35" s="22"/>
      <c r="L35" s="22"/>
      <c r="M35" s="42"/>
      <c r="N35" s="22"/>
      <c r="O35" s="42"/>
      <c r="P35" s="22"/>
      <c r="Q35" s="22"/>
      <c r="R35" s="22"/>
      <c r="S35" s="22"/>
      <c r="T35" s="22"/>
      <c r="U35" s="22"/>
      <c r="V35" s="24"/>
    </row>
    <row r="36" spans="9:22" ht="14.25" thickBot="1">
      <c r="I36" s="10"/>
      <c r="J36" s="22"/>
      <c r="K36" s="43" t="s">
        <v>38</v>
      </c>
      <c r="R36" s="22"/>
      <c r="S36" s="22"/>
      <c r="T36" s="22"/>
      <c r="U36" s="22"/>
      <c r="V36" s="24"/>
    </row>
    <row r="37" spans="9:22" ht="14.25" thickBot="1">
      <c r="I37" s="10"/>
      <c r="J37" s="22"/>
      <c r="K37" s="141" t="s">
        <v>21</v>
      </c>
      <c r="L37" s="142"/>
      <c r="M37" s="27">
        <f>IF(D6="","",D6)</f>
        <v>40</v>
      </c>
      <c r="N37" s="148" t="s">
        <v>22</v>
      </c>
      <c r="O37" s="142"/>
      <c r="P37" s="28">
        <f>Q24</f>
        <v>8016</v>
      </c>
      <c r="Q37" s="11" t="s">
        <v>23</v>
      </c>
      <c r="R37" s="22"/>
      <c r="S37" s="22"/>
      <c r="T37" s="22"/>
      <c r="U37" s="22"/>
      <c r="V37" s="24"/>
    </row>
    <row r="38" spans="9:22" ht="14.25" thickBot="1">
      <c r="I38" s="10"/>
      <c r="J38" s="22"/>
      <c r="K38" s="141" t="s">
        <v>24</v>
      </c>
      <c r="L38" s="142"/>
      <c r="M38" s="29">
        <f>M37</f>
        <v>40</v>
      </c>
      <c r="N38" s="148" t="s">
        <v>22</v>
      </c>
      <c r="O38" s="142"/>
      <c r="P38" s="30">
        <f>M24</f>
        <v>7210</v>
      </c>
      <c r="Q38" s="11" t="s">
        <v>23</v>
      </c>
      <c r="R38" s="22"/>
      <c r="S38" s="22"/>
      <c r="T38" s="22"/>
      <c r="U38" s="22"/>
      <c r="V38" s="24"/>
    </row>
    <row r="39" spans="9:22" ht="13.5">
      <c r="I39" s="1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4"/>
    </row>
    <row r="40" spans="9:22" ht="13.5">
      <c r="I40" s="10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4"/>
    </row>
    <row r="41" spans="9:22" ht="14.25">
      <c r="I41" s="10"/>
      <c r="J41" s="22"/>
      <c r="K41" s="40" t="s">
        <v>51</v>
      </c>
      <c r="L41" s="41"/>
      <c r="M41" s="22"/>
      <c r="N41" s="22"/>
      <c r="O41" s="22"/>
      <c r="P41" s="22"/>
      <c r="Q41" s="22"/>
      <c r="R41" s="22"/>
      <c r="S41" s="22"/>
      <c r="T41" s="22"/>
      <c r="U41" s="22"/>
      <c r="V41" s="24"/>
    </row>
    <row r="42" spans="9:22" ht="13.5">
      <c r="I42" s="10"/>
      <c r="J42" s="22"/>
      <c r="K42" s="133" t="s">
        <v>25</v>
      </c>
      <c r="L42" s="134"/>
      <c r="M42" s="149" t="s">
        <v>26</v>
      </c>
      <c r="N42" s="149"/>
      <c r="O42" s="22"/>
      <c r="P42" s="22"/>
      <c r="Q42" s="22"/>
      <c r="R42" s="22"/>
      <c r="S42" s="22"/>
      <c r="T42" s="22"/>
      <c r="U42" s="22"/>
      <c r="V42" s="24"/>
    </row>
    <row r="43" spans="9:22" ht="13.5">
      <c r="I43" s="10"/>
      <c r="J43" s="22"/>
      <c r="K43" s="135"/>
      <c r="L43" s="136"/>
      <c r="M43" s="14" t="s">
        <v>41</v>
      </c>
      <c r="N43" s="14" t="s">
        <v>42</v>
      </c>
      <c r="O43" s="22"/>
      <c r="P43" s="22"/>
      <c r="Q43" s="22"/>
      <c r="R43" s="22"/>
      <c r="S43" s="22"/>
      <c r="T43" s="22"/>
      <c r="U43" s="22"/>
      <c r="V43" s="24"/>
    </row>
    <row r="44" spans="9:22" ht="13.5">
      <c r="I44" s="10"/>
      <c r="J44" s="22"/>
      <c r="K44" s="146" t="s">
        <v>27</v>
      </c>
      <c r="L44" s="147"/>
      <c r="M44" s="31">
        <v>2134</v>
      </c>
      <c r="N44" s="31">
        <f aca="true" t="shared" si="0" ref="N44:N50">M44*2</f>
        <v>4268</v>
      </c>
      <c r="O44" s="22"/>
      <c r="P44" s="22"/>
      <c r="Q44" s="22"/>
      <c r="R44" s="22"/>
      <c r="S44" s="22"/>
      <c r="T44" s="22"/>
      <c r="U44" s="22"/>
      <c r="V44" s="24"/>
    </row>
    <row r="45" spans="9:22" ht="13.5">
      <c r="I45" s="10"/>
      <c r="J45" s="22"/>
      <c r="K45" s="146" t="s">
        <v>28</v>
      </c>
      <c r="L45" s="147"/>
      <c r="M45" s="31">
        <v>3410</v>
      </c>
      <c r="N45" s="31">
        <f t="shared" si="0"/>
        <v>6820</v>
      </c>
      <c r="O45" s="22"/>
      <c r="P45" s="22"/>
      <c r="Q45" s="22"/>
      <c r="R45" s="22"/>
      <c r="S45" s="22"/>
      <c r="T45" s="22"/>
      <c r="U45" s="22"/>
      <c r="V45" s="24"/>
    </row>
    <row r="46" spans="9:22" ht="13.5">
      <c r="I46" s="10"/>
      <c r="J46" s="22"/>
      <c r="K46" s="146" t="s">
        <v>29</v>
      </c>
      <c r="L46" s="147"/>
      <c r="M46" s="31">
        <v>4686</v>
      </c>
      <c r="N46" s="31">
        <f t="shared" si="0"/>
        <v>9372</v>
      </c>
      <c r="O46" s="22"/>
      <c r="P46" s="22"/>
      <c r="Q46" s="22"/>
      <c r="R46" s="22"/>
      <c r="S46" s="22"/>
      <c r="T46" s="22"/>
      <c r="U46" s="22"/>
      <c r="V46" s="24"/>
    </row>
    <row r="47" spans="9:22" ht="13.5">
      <c r="I47" s="10"/>
      <c r="J47" s="22"/>
      <c r="K47" s="146" t="s">
        <v>30</v>
      </c>
      <c r="L47" s="147"/>
      <c r="M47" s="31">
        <v>5951</v>
      </c>
      <c r="N47" s="31">
        <f t="shared" si="0"/>
        <v>11902</v>
      </c>
      <c r="O47" s="22"/>
      <c r="P47" s="22"/>
      <c r="Q47" s="22"/>
      <c r="R47" s="22"/>
      <c r="S47" s="22"/>
      <c r="T47" s="22"/>
      <c r="U47" s="22"/>
      <c r="V47" s="24"/>
    </row>
    <row r="48" spans="9:22" ht="13.5">
      <c r="I48" s="10"/>
      <c r="J48" s="22"/>
      <c r="K48" s="146" t="s">
        <v>31</v>
      </c>
      <c r="L48" s="147"/>
      <c r="M48" s="31">
        <v>7227</v>
      </c>
      <c r="N48" s="31">
        <f t="shared" si="0"/>
        <v>14454</v>
      </c>
      <c r="O48" s="22"/>
      <c r="P48" s="22"/>
      <c r="Q48" s="22"/>
      <c r="R48" s="22"/>
      <c r="S48" s="22"/>
      <c r="T48" s="22"/>
      <c r="U48" s="22"/>
      <c r="V48" s="24"/>
    </row>
    <row r="49" spans="9:22" ht="13.5">
      <c r="I49" s="10"/>
      <c r="J49" s="22"/>
      <c r="K49" s="146" t="s">
        <v>32</v>
      </c>
      <c r="L49" s="147"/>
      <c r="M49" s="31">
        <v>8492</v>
      </c>
      <c r="N49" s="31">
        <f t="shared" si="0"/>
        <v>16984</v>
      </c>
      <c r="O49" s="22"/>
      <c r="P49" s="22"/>
      <c r="Q49" s="22"/>
      <c r="R49" s="22"/>
      <c r="S49" s="22"/>
      <c r="T49" s="22"/>
      <c r="U49" s="22"/>
      <c r="V49" s="24"/>
    </row>
    <row r="50" spans="9:22" ht="13.5">
      <c r="I50" s="10"/>
      <c r="J50" s="22"/>
      <c r="K50" s="146" t="s">
        <v>33</v>
      </c>
      <c r="L50" s="147"/>
      <c r="M50" s="31">
        <v>9768</v>
      </c>
      <c r="N50" s="31">
        <f t="shared" si="0"/>
        <v>19536</v>
      </c>
      <c r="O50" s="22"/>
      <c r="P50" s="22"/>
      <c r="Q50" s="22"/>
      <c r="R50" s="22"/>
      <c r="S50" s="22"/>
      <c r="T50" s="22"/>
      <c r="U50" s="22"/>
      <c r="V50" s="24"/>
    </row>
    <row r="51" spans="9:22" ht="14.25" thickBot="1">
      <c r="I51" s="12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5"/>
    </row>
    <row r="52" spans="10:17" ht="13.5">
      <c r="J52" s="1"/>
      <c r="K52" s="1"/>
      <c r="L52" s="1"/>
      <c r="M52" s="1"/>
      <c r="N52" s="1"/>
      <c r="O52" s="1"/>
      <c r="P52" s="1"/>
      <c r="Q52" s="1"/>
    </row>
    <row r="53" ht="22.5" customHeight="1"/>
    <row r="58" ht="23.25" customHeight="1"/>
  </sheetData>
  <sheetProtection/>
  <protectedRanges>
    <protectedRange sqref="D6" name="範囲1"/>
  </protectedRanges>
  <mergeCells count="27">
    <mergeCell ref="B12:D12"/>
    <mergeCell ref="I16:L16"/>
    <mergeCell ref="M19:S19"/>
    <mergeCell ref="M42:N42"/>
    <mergeCell ref="K37:L37"/>
    <mergeCell ref="K21:L21"/>
    <mergeCell ref="N37:O37"/>
    <mergeCell ref="B8:C8"/>
    <mergeCell ref="K50:L50"/>
    <mergeCell ref="K45:L45"/>
    <mergeCell ref="K46:L46"/>
    <mergeCell ref="N38:O38"/>
    <mergeCell ref="K44:L44"/>
    <mergeCell ref="K49:L49"/>
    <mergeCell ref="K47:L47"/>
    <mergeCell ref="K48:L48"/>
    <mergeCell ref="K19:L19"/>
    <mergeCell ref="D5:E5"/>
    <mergeCell ref="B11:E11"/>
    <mergeCell ref="D6:E6"/>
    <mergeCell ref="D7:E7"/>
    <mergeCell ref="K42:L43"/>
    <mergeCell ref="B6:C6"/>
    <mergeCell ref="B7:C7"/>
    <mergeCell ref="K20:L20"/>
    <mergeCell ref="K38:L38"/>
    <mergeCell ref="D8:E8"/>
  </mergeCells>
  <dataValidations count="4">
    <dataValidation allowBlank="1" showInputMessage="1" showErrorMessage="1" imeMode="off" sqref="M38"/>
    <dataValidation type="list" allowBlank="1" showInputMessage="1" showErrorMessage="1" sqref="D8">
      <formula1>$M$1:$M$8</formula1>
    </dataValidation>
    <dataValidation type="list" allowBlank="1" showInputMessage="1" showErrorMessage="1" sqref="D7">
      <formula1>$K$1:$K$2</formula1>
    </dataValidation>
    <dataValidation type="whole" operator="greaterThanOrEqual" allowBlank="1" showInputMessage="1" showErrorMessage="1" errorTitle="使用水量エラー" error="使用水量の入力値が不正です。&#10;小数点以下は入力しないでください。" imeMode="off" sqref="D6">
      <formula1>0</formula1>
    </dataValidation>
  </dataValidations>
  <printOptions/>
  <pageMargins left="0.4724409448818898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9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3.5"/>
  <cols>
    <col min="1" max="1" width="11.625" style="55" customWidth="1"/>
    <col min="2" max="2" width="11.875" style="55" customWidth="1"/>
    <col min="3" max="3" width="21.375" style="55" customWidth="1"/>
    <col min="4" max="4" width="10.375" style="55" customWidth="1"/>
    <col min="5" max="5" width="8.875" style="55" customWidth="1"/>
    <col min="6" max="6" width="11.25390625" style="55" customWidth="1"/>
    <col min="7" max="7" width="3.375" style="55" bestFit="1" customWidth="1"/>
    <col min="8" max="8" width="10.25390625" style="55" customWidth="1"/>
    <col min="9" max="16384" width="9.00390625" style="55" customWidth="1"/>
  </cols>
  <sheetData>
    <row r="1" ht="32.25" customHeight="1"/>
    <row r="2" spans="1:8" ht="18.75">
      <c r="A2" s="161" t="s">
        <v>82</v>
      </c>
      <c r="B2" s="161"/>
      <c r="C2" s="161"/>
      <c r="D2" s="161"/>
      <c r="E2" s="161"/>
      <c r="F2" s="161"/>
      <c r="G2" s="161"/>
      <c r="H2" s="161"/>
    </row>
    <row r="3" ht="32.25" customHeight="1"/>
    <row r="4" spans="1:8" ht="99.75" customHeight="1">
      <c r="A4" s="168" t="s">
        <v>84</v>
      </c>
      <c r="B4" s="168"/>
      <c r="C4" s="168"/>
      <c r="D4" s="168"/>
      <c r="E4" s="168"/>
      <c r="F4" s="168"/>
      <c r="G4" s="168"/>
      <c r="H4" s="168"/>
    </row>
    <row r="5" spans="1:8" ht="14.25">
      <c r="A5" s="169" t="s">
        <v>75</v>
      </c>
      <c r="B5" s="169"/>
      <c r="C5" s="169"/>
      <c r="D5" s="169"/>
      <c r="E5" s="169"/>
      <c r="F5" s="169"/>
      <c r="G5" s="169"/>
      <c r="H5" s="169"/>
    </row>
    <row r="6" s="81" customFormat="1" ht="21" customHeight="1">
      <c r="A6" s="81" t="s">
        <v>76</v>
      </c>
    </row>
    <row r="7" s="81" customFormat="1" ht="9.75" customHeight="1" thickBot="1"/>
    <row r="8" spans="1:9" ht="18.75" customHeight="1" thickBot="1">
      <c r="A8" s="56"/>
      <c r="B8" s="82">
        <v>657</v>
      </c>
      <c r="C8" s="57" t="s">
        <v>83</v>
      </c>
      <c r="D8" s="83">
        <f>ROUNDUP(B8/2,0)</f>
        <v>329</v>
      </c>
      <c r="E8" s="57" t="s">
        <v>52</v>
      </c>
      <c r="F8" s="83">
        <f>ROUNDDOWN(B8/2,0)</f>
        <v>328</v>
      </c>
      <c r="G8" s="56"/>
      <c r="I8" s="77"/>
    </row>
    <row r="9" spans="1:7" ht="8.25" customHeight="1">
      <c r="A9" s="56"/>
      <c r="B9" s="56"/>
      <c r="C9" s="56"/>
      <c r="D9" s="56"/>
      <c r="E9" s="56"/>
      <c r="F9" s="56"/>
      <c r="G9" s="56"/>
    </row>
    <row r="10" spans="1:7" s="79" customFormat="1" ht="18.75" customHeight="1">
      <c r="A10" s="79" t="s">
        <v>53</v>
      </c>
      <c r="B10" s="80"/>
      <c r="C10" s="80"/>
      <c r="D10" s="80"/>
      <c r="E10" s="80"/>
      <c r="F10" s="80"/>
      <c r="G10" s="80"/>
    </row>
    <row r="11" spans="2:7" ht="18.75" customHeight="1">
      <c r="B11" s="86" t="s">
        <v>54</v>
      </c>
      <c r="C11" s="86"/>
      <c r="D11" s="58"/>
      <c r="E11" s="58"/>
      <c r="F11" s="58"/>
      <c r="G11" s="56"/>
    </row>
    <row r="12" spans="2:7" ht="28.5" customHeight="1">
      <c r="B12" s="59"/>
      <c r="C12" s="60" t="s">
        <v>55</v>
      </c>
      <c r="D12" s="60" t="s">
        <v>56</v>
      </c>
      <c r="E12" s="61" t="s">
        <v>57</v>
      </c>
      <c r="F12" s="126" t="s">
        <v>78</v>
      </c>
      <c r="G12" s="89"/>
    </row>
    <row r="13" spans="2:7" ht="16.5" customHeight="1">
      <c r="B13" s="87" t="s">
        <v>58</v>
      </c>
      <c r="C13" s="62" t="s">
        <v>67</v>
      </c>
      <c r="D13" s="88">
        <v>1419</v>
      </c>
      <c r="E13" s="78">
        <f>MIN(MAX(0,E21),8)</f>
        <v>8</v>
      </c>
      <c r="F13" s="67">
        <v>1419</v>
      </c>
      <c r="G13" s="90"/>
    </row>
    <row r="14" spans="2:7" ht="16.5" customHeight="1">
      <c r="B14" s="158" t="s">
        <v>59</v>
      </c>
      <c r="C14" s="63" t="s">
        <v>68</v>
      </c>
      <c r="D14" s="69">
        <v>170.5</v>
      </c>
      <c r="E14" s="78">
        <f>MIN(MAX(0,E21-8),8)</f>
        <v>8</v>
      </c>
      <c r="F14" s="93">
        <f aca="true" t="shared" si="0" ref="F14:F20">D14*E14</f>
        <v>1364</v>
      </c>
      <c r="G14" s="90"/>
    </row>
    <row r="15" spans="2:7" ht="16.5" customHeight="1">
      <c r="B15" s="159"/>
      <c r="C15" s="63" t="s">
        <v>69</v>
      </c>
      <c r="D15" s="69">
        <v>205.7</v>
      </c>
      <c r="E15" s="78">
        <f>MIN(MAX(0,E21-16),9)</f>
        <v>9</v>
      </c>
      <c r="F15" s="93">
        <f t="shared" si="0"/>
        <v>1851.3</v>
      </c>
      <c r="G15" s="90"/>
    </row>
    <row r="16" spans="2:7" ht="16.5" customHeight="1">
      <c r="B16" s="159"/>
      <c r="C16" s="63" t="s">
        <v>70</v>
      </c>
      <c r="D16" s="69">
        <v>225.5</v>
      </c>
      <c r="E16" s="78">
        <f>MIN(MAX(0,E21-25),25)</f>
        <v>25</v>
      </c>
      <c r="F16" s="93">
        <f t="shared" si="0"/>
        <v>5637.5</v>
      </c>
      <c r="G16" s="90"/>
    </row>
    <row r="17" spans="2:7" ht="16.5" customHeight="1">
      <c r="B17" s="159"/>
      <c r="C17" s="63" t="s">
        <v>71</v>
      </c>
      <c r="D17" s="69">
        <v>248.6</v>
      </c>
      <c r="E17" s="78">
        <f>MIN(MAX(0,E21-50),50)</f>
        <v>50</v>
      </c>
      <c r="F17" s="93">
        <f t="shared" si="0"/>
        <v>12430</v>
      </c>
      <c r="G17" s="90"/>
    </row>
    <row r="18" spans="2:7" ht="16.5" customHeight="1">
      <c r="B18" s="159"/>
      <c r="C18" s="63" t="s">
        <v>72</v>
      </c>
      <c r="D18" s="69">
        <v>275</v>
      </c>
      <c r="E18" s="78">
        <f>MIN(MAX(0,E21-100),100)</f>
        <v>100</v>
      </c>
      <c r="F18" s="93">
        <f t="shared" si="0"/>
        <v>27500</v>
      </c>
      <c r="G18" s="90"/>
    </row>
    <row r="19" spans="2:7" ht="16.5" customHeight="1">
      <c r="B19" s="159"/>
      <c r="C19" s="63" t="s">
        <v>73</v>
      </c>
      <c r="D19" s="69">
        <v>299.2</v>
      </c>
      <c r="E19" s="78">
        <f>MIN(MAX(0,E21-200),300)</f>
        <v>129</v>
      </c>
      <c r="F19" s="93">
        <f t="shared" si="0"/>
        <v>38596.799999999996</v>
      </c>
      <c r="G19" s="90"/>
    </row>
    <row r="20" spans="2:7" ht="16.5" customHeight="1" thickBot="1">
      <c r="B20" s="160"/>
      <c r="C20" s="94" t="s">
        <v>74</v>
      </c>
      <c r="D20" s="95">
        <v>327.8</v>
      </c>
      <c r="E20" s="96">
        <f>MAX(0,E21-500)</f>
        <v>0</v>
      </c>
      <c r="F20" s="97">
        <f t="shared" si="0"/>
        <v>0</v>
      </c>
      <c r="G20" s="90"/>
    </row>
    <row r="21" spans="2:7" ht="16.5" customHeight="1" thickTop="1">
      <c r="B21" s="162" t="s">
        <v>60</v>
      </c>
      <c r="C21" s="162"/>
      <c r="D21" s="162"/>
      <c r="E21" s="91">
        <f>D8</f>
        <v>329</v>
      </c>
      <c r="F21" s="92">
        <f>SUM(F13:F20)</f>
        <v>88798.6</v>
      </c>
      <c r="G21" s="90"/>
    </row>
    <row r="22" spans="2:7" ht="15.75" customHeight="1">
      <c r="B22" s="64"/>
      <c r="C22" s="64"/>
      <c r="D22" s="64"/>
      <c r="E22" s="64"/>
      <c r="F22" s="119" t="s">
        <v>61</v>
      </c>
      <c r="G22" s="66"/>
    </row>
    <row r="23" spans="2:7" ht="16.5" customHeight="1">
      <c r="B23" s="64"/>
      <c r="D23" s="163" t="s">
        <v>77</v>
      </c>
      <c r="E23" s="163"/>
      <c r="F23" s="84">
        <f>ROUNDDOWN(F21,0)</f>
        <v>88798</v>
      </c>
      <c r="G23" s="85" t="s">
        <v>37</v>
      </c>
    </row>
    <row r="24" spans="2:7" ht="18.75" customHeight="1">
      <c r="B24" s="86" t="s">
        <v>62</v>
      </c>
      <c r="C24" s="86"/>
      <c r="D24" s="58"/>
      <c r="E24" s="58"/>
      <c r="F24" s="58"/>
      <c r="G24" s="56"/>
    </row>
    <row r="25" spans="2:7" ht="36" customHeight="1">
      <c r="B25" s="59"/>
      <c r="C25" s="60" t="s">
        <v>55</v>
      </c>
      <c r="D25" s="60" t="s">
        <v>56</v>
      </c>
      <c r="E25" s="61" t="s">
        <v>57</v>
      </c>
      <c r="F25" s="126" t="s">
        <v>78</v>
      </c>
      <c r="G25" s="89"/>
    </row>
    <row r="26" spans="2:7" ht="16.5" customHeight="1">
      <c r="B26" s="87" t="s">
        <v>58</v>
      </c>
      <c r="C26" s="62" t="s">
        <v>67</v>
      </c>
      <c r="D26" s="88">
        <v>1419</v>
      </c>
      <c r="E26" s="78">
        <f>MIN(MAX(0,E34),8)</f>
        <v>8</v>
      </c>
      <c r="F26" s="68">
        <f>F13</f>
        <v>1419</v>
      </c>
      <c r="G26" s="90"/>
    </row>
    <row r="27" spans="2:7" ht="16.5" customHeight="1">
      <c r="B27" s="158" t="s">
        <v>59</v>
      </c>
      <c r="C27" s="63" t="s">
        <v>68</v>
      </c>
      <c r="D27" s="69">
        <v>170.5</v>
      </c>
      <c r="E27" s="78">
        <f>MIN(MAX(0,E34-8),8)</f>
        <v>8</v>
      </c>
      <c r="F27" s="99">
        <f>D27*E27</f>
        <v>1364</v>
      </c>
      <c r="G27" s="90"/>
    </row>
    <row r="28" spans="2:7" ht="16.5" customHeight="1">
      <c r="B28" s="159"/>
      <c r="C28" s="63" t="s">
        <v>69</v>
      </c>
      <c r="D28" s="69">
        <v>205.7</v>
      </c>
      <c r="E28" s="78">
        <f>MIN(MAX(0,E34-16),9)</f>
        <v>9</v>
      </c>
      <c r="F28" s="99">
        <f aca="true" t="shared" si="1" ref="F28:F33">D28*E28</f>
        <v>1851.3</v>
      </c>
      <c r="G28" s="90"/>
    </row>
    <row r="29" spans="2:7" ht="16.5" customHeight="1">
      <c r="B29" s="159"/>
      <c r="C29" s="63" t="s">
        <v>70</v>
      </c>
      <c r="D29" s="69">
        <v>225.5</v>
      </c>
      <c r="E29" s="78">
        <f>MIN(MAX(0,E34-25),25)</f>
        <v>25</v>
      </c>
      <c r="F29" s="99">
        <f t="shared" si="1"/>
        <v>5637.5</v>
      </c>
      <c r="G29" s="90"/>
    </row>
    <row r="30" spans="2:7" ht="16.5" customHeight="1">
      <c r="B30" s="159"/>
      <c r="C30" s="63" t="s">
        <v>71</v>
      </c>
      <c r="D30" s="69">
        <v>248.6</v>
      </c>
      <c r="E30" s="78">
        <f>MIN(MAX(0,E34-50),50)</f>
        <v>50</v>
      </c>
      <c r="F30" s="99">
        <f t="shared" si="1"/>
        <v>12430</v>
      </c>
      <c r="G30" s="90"/>
    </row>
    <row r="31" spans="2:7" ht="16.5" customHeight="1">
      <c r="B31" s="159"/>
      <c r="C31" s="63" t="s">
        <v>72</v>
      </c>
      <c r="D31" s="69">
        <v>275</v>
      </c>
      <c r="E31" s="78">
        <f>MIN(MAX(0,E34-100),100)</f>
        <v>100</v>
      </c>
      <c r="F31" s="99">
        <f t="shared" si="1"/>
        <v>27500</v>
      </c>
      <c r="G31" s="90"/>
    </row>
    <row r="32" spans="2:7" ht="16.5" customHeight="1">
      <c r="B32" s="159"/>
      <c r="C32" s="63" t="s">
        <v>73</v>
      </c>
      <c r="D32" s="69">
        <v>299.2</v>
      </c>
      <c r="E32" s="78">
        <f>MIN(MAX(0,E34-200),300)</f>
        <v>128</v>
      </c>
      <c r="F32" s="99">
        <f t="shared" si="1"/>
        <v>38297.6</v>
      </c>
      <c r="G32" s="90"/>
    </row>
    <row r="33" spans="2:7" ht="16.5" customHeight="1" thickBot="1">
      <c r="B33" s="160"/>
      <c r="C33" s="94" t="s">
        <v>74</v>
      </c>
      <c r="D33" s="95">
        <v>327.8</v>
      </c>
      <c r="E33" s="96">
        <f>MAX(0,E34-500)</f>
        <v>0</v>
      </c>
      <c r="F33" s="100">
        <f t="shared" si="1"/>
        <v>0</v>
      </c>
      <c r="G33" s="90"/>
    </row>
    <row r="34" spans="2:7" ht="16.5" customHeight="1" thickTop="1">
      <c r="B34" s="164" t="s">
        <v>60</v>
      </c>
      <c r="C34" s="165"/>
      <c r="D34" s="166"/>
      <c r="E34" s="91">
        <f>F8</f>
        <v>328</v>
      </c>
      <c r="F34" s="98">
        <f>SUM(F26:F33)</f>
        <v>88499.4</v>
      </c>
      <c r="G34" s="90"/>
    </row>
    <row r="35" spans="2:7" ht="14.25" customHeight="1">
      <c r="B35" s="64"/>
      <c r="C35" s="64"/>
      <c r="D35" s="64"/>
      <c r="E35" s="64"/>
      <c r="F35" s="119" t="s">
        <v>61</v>
      </c>
      <c r="G35" s="66"/>
    </row>
    <row r="36" spans="2:7" ht="16.5" customHeight="1">
      <c r="B36" s="64"/>
      <c r="C36" s="64"/>
      <c r="D36" s="163" t="s">
        <v>77</v>
      </c>
      <c r="E36" s="163"/>
      <c r="F36" s="84">
        <f>ROUNDDOWN(F34,0)</f>
        <v>88499</v>
      </c>
      <c r="G36" s="85" t="s">
        <v>37</v>
      </c>
    </row>
    <row r="37" spans="1:7" ht="24" customHeight="1" thickBot="1">
      <c r="A37" s="163" t="s">
        <v>79</v>
      </c>
      <c r="B37" s="163"/>
      <c r="C37" s="163"/>
      <c r="D37" s="163"/>
      <c r="E37" s="163"/>
      <c r="F37" s="163"/>
      <c r="G37" s="163"/>
    </row>
    <row r="38" spans="4:8" ht="22.5" customHeight="1" thickBot="1">
      <c r="D38" s="167" t="s">
        <v>63</v>
      </c>
      <c r="E38" s="167"/>
      <c r="F38" s="101">
        <f>F23+F36</f>
        <v>177297</v>
      </c>
      <c r="G38" s="102" t="s">
        <v>37</v>
      </c>
      <c r="H38" s="65"/>
    </row>
    <row r="39" spans="4:7" ht="14.25">
      <c r="D39" s="66"/>
      <c r="E39" s="66"/>
      <c r="F39" s="66"/>
      <c r="G39" s="66"/>
    </row>
  </sheetData>
  <sheetProtection/>
  <mergeCells count="11">
    <mergeCell ref="D38:E38"/>
    <mergeCell ref="B14:B20"/>
    <mergeCell ref="A4:H4"/>
    <mergeCell ref="A5:H5"/>
    <mergeCell ref="A37:G37"/>
    <mergeCell ref="B27:B33"/>
    <mergeCell ref="A2:H2"/>
    <mergeCell ref="B21:D21"/>
    <mergeCell ref="D23:E23"/>
    <mergeCell ref="B34:D34"/>
    <mergeCell ref="D36:E36"/>
  </mergeCells>
  <printOptions/>
  <pageMargins left="0.787" right="0.787" top="0.984" bottom="0.984" header="0.512" footer="0.51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IZ477</dc:creator>
  <cp:keywords/>
  <dc:description/>
  <cp:lastModifiedBy>SL638</cp:lastModifiedBy>
  <cp:lastPrinted>2023-10-20T00:37:57Z</cp:lastPrinted>
  <dcterms:created xsi:type="dcterms:W3CDTF">2006-10-25T01:57:36Z</dcterms:created>
  <dcterms:modified xsi:type="dcterms:W3CDTF">2023-10-27T02:07:41Z</dcterms:modified>
  <cp:category/>
  <cp:version/>
  <cp:contentType/>
  <cp:contentStatus/>
</cp:coreProperties>
</file>